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always" codeName="ThisWorkbook" defaultThemeVersion="124226"/>
  <mc:AlternateContent xmlns:mc="http://schemas.openxmlformats.org/markup-compatibility/2006">
    <mc:Choice Requires="x15">
      <x15ac:absPath xmlns:x15ac="http://schemas.microsoft.com/office/spreadsheetml/2010/11/ac" url="C:\Users\KristinM\Datto Workplace\FY24 (Heather Jones)\AIBT\AFR\RCB-71st\"/>
    </mc:Choice>
  </mc:AlternateContent>
  <xr:revisionPtr revIDLastSave="0" documentId="13_ncr:1_{F71D6FCF-9BFC-4EEB-95DE-D4E38EAA2D75}" xr6:coauthVersionLast="47" xr6:coauthVersionMax="47" xr10:uidLastSave="{00000000-0000-0000-0000-000000000000}"/>
  <workbookProtection workbookAlgorithmName="SHA-512" workbookHashValue="kexJUcyAxlRO8NhMZDyBT79aqxqxHBxUBNSMrrePIYYvJnKXR9Fc8xyoc4i1fxDJff7vrfmPnXKgW5hXnJstPQ==" workbookSaltValue="GtP5YlFFve80uahz0IpaMg==" workbookSpinCount="100000" lockStructure="1"/>
  <bookViews>
    <workbookView xWindow="-108" yWindow="-108" windowWidth="23256" windowHeight="12576" tabRatio="722" xr2:uid="{00000000-000D-0000-FFFF-FFFF00000000}"/>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Summary" sheetId="24" r:id="rId12"/>
    <sheet name="Project balance reserves" sheetId="25" r:id="rId13"/>
    <sheet name="School listing" sheetId="20" r:id="rId14"/>
    <sheet name="Alerts" sheetId="17" r:id="rId15"/>
    <sheet name="Instructions" sheetId="16" r:id="rId16"/>
    <sheet name="Accounting data" sheetId="21" r:id="rId17"/>
    <sheet name="Calculations" sheetId="18" r:id="rId18"/>
  </sheets>
  <externalReferences>
    <externalReference r:id="rId19"/>
    <externalReference r:id="rId20"/>
    <externalReference r:id="rId21"/>
  </externalReferences>
  <definedNames>
    <definedName name="_xlnm._FilterDatabase" localSheetId="16" hidden="1">'Accounting data'!$A$1:$L$4343</definedName>
    <definedName name="_xlnm._FilterDatabase" localSheetId="17" hidden="1">Calculations!$A$1:$E$1534</definedName>
    <definedName name="_xlnm._FilterDatabase" localSheetId="15" hidden="1">Instructions!$A$1:$D$102</definedName>
    <definedName name="_Order1" hidden="1">255</definedName>
    <definedName name="Account">'Accounting data'!$A$1</definedName>
    <definedName name="Accounting_Data_Tab">Instructions!$C$9</definedName>
    <definedName name="ActualTotalFederalAndStateProjects">'Page 8'!$K$42</definedName>
    <definedName name="ActualTotalInstImpExp">'Page 4'!$I$11</definedName>
    <definedName name="AddlInstrImprProjEndBal">'Page 4'!$F$19</definedName>
    <definedName name="AdjustedBeginningProjectBalance">Instructions!$C$88</definedName>
    <definedName name="AllDisabilityClassifications">Instructions!$C$40</definedName>
    <definedName name="Allocation_to_Schools_2">"TextBox 1"</definedName>
    <definedName name="ArizonaIndustryCredentialsIncentive">Instructions!$C$22</definedName>
    <definedName name="AuditServices">Instructions!$C$23</definedName>
    <definedName name="AverageTeacherSalary">Instructions!$C$37</definedName>
    <definedName name="BegProjectBalances">Instructions!$C$87</definedName>
    <definedName name="CapitalAcquisitions">Instructions!$C$24</definedName>
    <definedName name="CapitalAcquisitionsLine5">Instructions!$C$25</definedName>
    <definedName name="CashandInvestments">Instructions!$C$60</definedName>
    <definedName name="CashBal">'Page 6'!$F$6</definedName>
    <definedName name="CIP1072EndBal">'Page 5'!$O$48</definedName>
    <definedName name="ClssrmSitepg3">Instructions!$C$18</definedName>
    <definedName name="CSPlines122615">Instructions!$C$20</definedName>
    <definedName name="CSPlines4914">Instructions!$C$19</definedName>
    <definedName name="CSPPropertyPayments">Instructions!$C$21</definedName>
    <definedName name="CurrentExpensesByCategory">Instructions!$C$28</definedName>
    <definedName name="CurrentExpensesbyCategoryLines7and8">Instructions!$C$29</definedName>
    <definedName name="DebtService">Instructions!$C$49</definedName>
    <definedName name="District_Name">'School listing'!$A$1</definedName>
    <definedName name="ExpensesPage2">Instructions!$C$16</definedName>
    <definedName name="F001P100TotActExp">'[1]Page 2'!$J$22</definedName>
    <definedName name="F001P100TotBudgExp">'[1]Page 2'!$I$22</definedName>
    <definedName name="F001P200TotActExp">'[1]Page 2'!$J$34</definedName>
    <definedName name="F001P200TotBudgExp">'[1]Page 2'!$I$34</definedName>
    <definedName name="F001P400">'[1]Page 2'!$J$35</definedName>
    <definedName name="F001P400TotBudgExp">'[1]Page 2'!$I$35</definedName>
    <definedName name="F001P510">'[1]Page 2'!$J$37</definedName>
    <definedName name="F001P510TotBudgExp">'[1]Page 2'!$I$37</definedName>
    <definedName name="F001P530TotActExp">'[1]Page 2'!$J$42</definedName>
    <definedName name="F001P530TotBudgExp">'[1]Page 2'!$I$42</definedName>
    <definedName name="F001P540">'[1]Page 2'!$J$43</definedName>
    <definedName name="F001P540TotBudgExp">'[1]Page 2'!$I$43</definedName>
    <definedName name="F001P550TotActExp">'[1]Page 2'!$J$45</definedName>
    <definedName name="F001P550TotBudgExp">'[1]Page 2'!$I$45</definedName>
    <definedName name="FederalAndStateProjectsAdjustedBeginningProjectBalance">Instructions!$C$42</definedName>
    <definedName name="FederalAndStateProjectsPage2">Instructions!$C$17</definedName>
    <definedName name="FederalAndStateProjectsPage9">Instructions!$C$43</definedName>
    <definedName name="FederalAndStateProjectsPage9Line30">Instructions!$C$45</definedName>
    <definedName name="Food_Service_1600">Instructions!$C$12</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Instructions!$C$30</definedName>
    <definedName name="GeneralInstructions">Instructions!$C$2</definedName>
    <definedName name="GeneralPage1">Instructions!$C$11</definedName>
    <definedName name="GeneralPage10">Instructions!$C$46</definedName>
    <definedName name="ImpactAidandOtherFederalProjects">Instructions!$C$44</definedName>
    <definedName name="InvestmentInCapitalAssets">Instructions!$C$26</definedName>
    <definedName name="InvestmentInCapitalAssetsLine5">Instructions!$C$27</definedName>
    <definedName name="LongandShortTermDebt">Instructions!$C$61</definedName>
    <definedName name="NameCountyCTDSNumber">Instructions!$C$7</definedName>
    <definedName name="Page10DebtServiceDetail">Instructions!$C$71</definedName>
    <definedName name="Page10FY20to23Exp">Instructions!$C$81</definedName>
    <definedName name="Page10FY24Exp">Instructions!$C$82</definedName>
    <definedName name="Page10General">Instructions!$C$65</definedName>
    <definedName name="Page10OtherLine">Instructions!$C$66</definedName>
    <definedName name="Page10PPP">Instructions!$A$84</definedName>
    <definedName name="Page10projects">Instructions!$A$72</definedName>
    <definedName name="Page10ProjectsLine1">Instructions!$C$74</definedName>
    <definedName name="Page10ProjectsLine2">Instructions!$C$75</definedName>
    <definedName name="Page10ProjectsLine3">Instructions!$C$76</definedName>
    <definedName name="Page10ProjectsLine4">Instructions!$C$77</definedName>
    <definedName name="Page10ProjectsLine5">Instructions!$C$78</definedName>
    <definedName name="Page10ProjectsLine6">Instructions!$C$79</definedName>
    <definedName name="Page10PropertyDisbursement">Instructions!$C$69</definedName>
    <definedName name="Page10PropertyDisbursementDetail">Instructions!$C$70</definedName>
    <definedName name="Page10Remaining">Instructions!$C$83</definedName>
    <definedName name="Page10TechDetail">Instructions!$C$67</definedName>
    <definedName name="Page10TechDetailLine7">Instructions!$C$68</definedName>
    <definedName name="Page10TotalAward">Instructions!$C$80</definedName>
    <definedName name="Page6CCRewards">Instructions!#REF!</definedName>
    <definedName name="_xlnm.Print_Area" localSheetId="14">Alerts!$A$1:$A$17</definedName>
    <definedName name="_xlnm.Print_Area" localSheetId="0">'Cover Page'!$A$1:$R$35</definedName>
    <definedName name="_xlnm.Print_Area" localSheetId="15">Instructions!$A$1:$D$64</definedName>
    <definedName name="_xlnm.Print_Area" localSheetId="1">'Page 1'!$A$1:$N$40</definedName>
    <definedName name="_xlnm.Print_Area" localSheetId="10">'Page 10'!$A$1:$P$47</definedName>
    <definedName name="_xlnm.Print_Area" localSheetId="2">'Page 2'!$A$1:$M$48</definedName>
    <definedName name="_xlnm.Print_Area" localSheetId="3">'Page 3'!$A$1:$L$30</definedName>
    <definedName name="_xlnm.Print_Area" localSheetId="4">'Page 4'!$A$1:$M$29</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2">'Project balance reserves'!$A$1:$N$46</definedName>
    <definedName name="_xlnm.Print_Area" localSheetId="11">Summary!$A$1:$V$23</definedName>
    <definedName name="PriorYearSalary">'Page 6'!$T$30</definedName>
    <definedName name="PropertyDisbursements">Instructions!$C$47</definedName>
    <definedName name="PropertyDisbursementsByType">Instructions!$C$48</definedName>
    <definedName name="ReserveBalSecA">Instructions!$C$89</definedName>
    <definedName name="ReserveBalSecAl1">Instructions!$C$90</definedName>
    <definedName name="ReserveBalSecAl2">Instructions!$C$91</definedName>
    <definedName name="ReserveBalSecAl3">Instructions!$C$92</definedName>
    <definedName name="ReserveBalSecAl3a">Instructions!$C$93</definedName>
    <definedName name="ReserveBalSecAl3b">Instructions!$C$94</definedName>
    <definedName name="ReserveBalSecAl3c">Instructions!$C$95</definedName>
    <definedName name="ReserveBalSecAl3d">Instructions!$C$96</definedName>
    <definedName name="ReserveBalSecAl3e">Instructions!$C$97</definedName>
    <definedName name="ReserveBalSecAl3f">Instructions!$C$98</definedName>
    <definedName name="ReserveBalSecAl3g">Instructions!$C$99</definedName>
    <definedName name="ReserveBalSecB">Instructions!$C$100</definedName>
    <definedName name="ReserveBalSecBl1">Instructions!#REF!</definedName>
    <definedName name="ReserveBalSecBl2">Instructions!#REF!</definedName>
    <definedName name="ReserveBalSecBl3">Instructions!#REF!</definedName>
    <definedName name="ReserveBalSecBl4">Instructions!$C$101</definedName>
    <definedName name="ReserveBalSecBl5">Instructions!$C$102</definedName>
    <definedName name="ReserveBalSecBl6">Instructions!#REF!</definedName>
    <definedName name="ReserveBalSecBl7">Instructions!#REF!</definedName>
    <definedName name="ReserveBalSecBl8">Instructions!#REF!</definedName>
    <definedName name="Restricted3200">Instructions!$C$13</definedName>
    <definedName name="Results_Based_Funding">Instructions!#REF!</definedName>
    <definedName name="Revenue_From_Selected_Federal_Sources">Instructions!$C$50</definedName>
    <definedName name="School_Listing_Tab">Instructions!$C$8</definedName>
    <definedName name="Section_C_Transportation">Instructions!$C$41</definedName>
    <definedName name="SEIP1071EndBal">'Page 5'!$O$26</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Instructions!$C$39</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Instructions!$C$86</definedName>
    <definedName name="SumGen">Instructions!$C$85</definedName>
    <definedName name="SupportServicesInstructionDetail">Instructions!$C$64</definedName>
    <definedName name="TeacherSalaries">Instructions!$C$31</definedName>
    <definedName name="TeacherSalariesLine1">Instructions!$C$32</definedName>
    <definedName name="TeacherSalariesLine2">Instructions!$C$33</definedName>
    <definedName name="TeacherSalariesLine3">Instructions!$C$34</definedName>
    <definedName name="TeacherSalariesLine4">Instructions!$C$35</definedName>
    <definedName name="TeacherSalariesLine5">Instructions!$C$36</definedName>
    <definedName name="TechnologyDetail">Instructions!$C$63</definedName>
    <definedName name="TotalActualGiftedExpenses">Instructions!$C$38</definedName>
    <definedName name="TotalCIP6100">'Page 5'!$H$48</definedName>
    <definedName name="TotalCIP6200">'Page 5'!$I$48</definedName>
    <definedName name="TotalCIP630064006500">'Page 5'!$J$48</definedName>
    <definedName name="TotalCIP6600">'Page 5'!$K$48</definedName>
    <definedName name="TotalCIP6800">'Page 5'!$L$48</definedName>
    <definedName name="TotalSEIP6100">'Page 5'!$H$26</definedName>
    <definedName name="TotalSEIP6200">'Page 5'!$I$26</definedName>
    <definedName name="TotalSEIP630064006500">'Page 5'!$J$26</definedName>
    <definedName name="TotalSEIP6600">'Page 5'!$K$26</definedName>
    <definedName name="TotalSEIP6800">'Page 5'!$L$26</definedName>
    <definedName name="TotExpSchoolwide">'Page 2'!$J$42</definedName>
    <definedName name="Unrestricted_Restricted_4100_4300">Instructions!$C$14</definedName>
    <definedName name="Unrestricted_Restricted_4200_4500">Instructions!$C$15</definedName>
    <definedName name="UtilitiesandEnergyServices">Instructions!$C$62</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6" l="1"/>
  <c r="G26" i="21" l="1"/>
  <c r="E22" i="4" l="1"/>
  <c r="E38" i="23"/>
  <c r="D7" i="20" l="1"/>
  <c r="D10" i="20" s="1"/>
  <c r="G69" i="21"/>
  <c r="G67" i="21"/>
  <c r="G35" i="6" s="1"/>
  <c r="F10" i="12"/>
  <c r="K46" i="15"/>
  <c r="K47" i="15"/>
  <c r="K32" i="15"/>
  <c r="G38" i="6"/>
  <c r="G36" i="6"/>
  <c r="G34" i="6"/>
  <c r="G29" i="21" l="1"/>
  <c r="G32" i="21"/>
  <c r="B17" i="24"/>
  <c r="E35" i="4"/>
  <c r="E25" i="4"/>
  <c r="E21" i="4"/>
  <c r="T30" i="6"/>
  <c r="E38" i="4" a="1"/>
  <c r="E38" i="4" s="1"/>
  <c r="E39" i="4"/>
  <c r="E37" i="4"/>
  <c r="E36" i="4"/>
  <c r="E34" i="4"/>
  <c r="E33" i="4"/>
  <c r="E32" i="4"/>
  <c r="E31" i="4"/>
  <c r="E30" i="4"/>
  <c r="E29" i="4"/>
  <c r="E28" i="4"/>
  <c r="E20" i="4"/>
  <c r="E19" i="4"/>
  <c r="E18" i="4"/>
  <c r="E17" i="4"/>
  <c r="E16" i="4"/>
  <c r="E15" i="4"/>
  <c r="E14" i="4"/>
  <c r="E13" i="4"/>
  <c r="E12" i="4"/>
  <c r="E11" i="4"/>
  <c r="E10" i="4"/>
  <c r="E9" i="4"/>
  <c r="E8" i="4"/>
  <c r="E7" i="4"/>
  <c r="E6" i="4"/>
  <c r="D6" i="6"/>
  <c r="F48" i="14"/>
  <c r="F26" i="14"/>
  <c r="K47" i="7"/>
  <c r="K46" i="7"/>
  <c r="K45" i="7"/>
  <c r="K44" i="7"/>
  <c r="K43" i="7"/>
  <c r="K41" i="7"/>
  <c r="K40" i="7"/>
  <c r="K39" i="7"/>
  <c r="K38" i="7"/>
  <c r="K36" i="7"/>
  <c r="K35" i="7"/>
  <c r="K34" i="7"/>
  <c r="K33" i="7"/>
  <c r="K32" i="7"/>
  <c r="K31" i="7"/>
  <c r="K30" i="7"/>
  <c r="K29" i="7"/>
  <c r="K28" i="7"/>
  <c r="K27" i="7"/>
  <c r="K25" i="7"/>
  <c r="K22" i="7"/>
  <c r="K20" i="7"/>
  <c r="K19" i="7"/>
  <c r="K18" i="7"/>
  <c r="K17" i="7"/>
  <c r="K16" i="7"/>
  <c r="K15" i="7"/>
  <c r="K14" i="7"/>
  <c r="K13" i="7"/>
  <c r="K12" i="7"/>
  <c r="K11" i="7"/>
  <c r="K10" i="7"/>
  <c r="K9" i="7"/>
  <c r="K7" i="7"/>
  <c r="K21" i="7"/>
  <c r="J38" i="4"/>
  <c r="J35" i="4"/>
  <c r="S25" i="5"/>
  <c r="S16" i="5"/>
  <c r="F28" i="12"/>
  <c r="F19" i="22"/>
  <c r="F18" i="22"/>
  <c r="F17" i="22"/>
  <c r="J39" i="4"/>
  <c r="J37" i="4"/>
  <c r="J36" i="4"/>
  <c r="J34" i="4"/>
  <c r="J33" i="4"/>
  <c r="J32" i="4"/>
  <c r="J31" i="4"/>
  <c r="J30" i="4"/>
  <c r="J29" i="4"/>
  <c r="J28" i="4"/>
  <c r="J22" i="4"/>
  <c r="J21" i="4"/>
  <c r="J20" i="4"/>
  <c r="J19" i="4"/>
  <c r="J18" i="4"/>
  <c r="J17" i="4"/>
  <c r="J16" i="4"/>
  <c r="J15" i="4"/>
  <c r="J14" i="4"/>
  <c r="J13" i="4"/>
  <c r="J12" i="4"/>
  <c r="J11" i="4"/>
  <c r="J10" i="4"/>
  <c r="J9" i="4"/>
  <c r="J8" i="4"/>
  <c r="J7" i="4"/>
  <c r="J6" i="4"/>
  <c r="S22" i="5"/>
  <c r="S21" i="5"/>
  <c r="S20" i="5"/>
  <c r="S19" i="5"/>
  <c r="S18" i="5"/>
  <c r="S17" i="5"/>
  <c r="M14" i="5"/>
  <c r="F19" i="6"/>
  <c r="F18" i="6"/>
  <c r="F17" i="6"/>
  <c r="F16" i="6"/>
  <c r="F15" i="6"/>
  <c r="F14" i="6"/>
  <c r="M47" i="14"/>
  <c r="M43" i="14"/>
  <c r="M42" i="14"/>
  <c r="M41" i="14"/>
  <c r="M40" i="14"/>
  <c r="M39" i="14"/>
  <c r="M38" i="14"/>
  <c r="M37" i="14"/>
  <c r="M35" i="14"/>
  <c r="M25" i="14"/>
  <c r="M21" i="14"/>
  <c r="M20" i="14"/>
  <c r="M19" i="14"/>
  <c r="M18" i="14"/>
  <c r="M17" i="14"/>
  <c r="M16" i="14"/>
  <c r="M14" i="14"/>
  <c r="M13" i="14"/>
  <c r="H10" i="12"/>
  <c r="H9" i="12"/>
  <c r="H8" i="12"/>
  <c r="H7" i="12"/>
  <c r="J12" i="22" a="1"/>
  <c r="J12" i="22" s="1"/>
  <c r="J8" i="22" a="1"/>
  <c r="J8" i="22" s="1"/>
  <c r="J11" i="22" a="1"/>
  <c r="J11" i="22" s="1"/>
  <c r="J9" i="22" a="1"/>
  <c r="J9" i="22" s="1"/>
  <c r="J10" i="22" a="1"/>
  <c r="J10" i="22" s="1"/>
  <c r="I47" i="7"/>
  <c r="I46" i="7"/>
  <c r="I45" i="7"/>
  <c r="I44" i="7"/>
  <c r="I43" i="7"/>
  <c r="I41" i="7"/>
  <c r="I40" i="7"/>
  <c r="I39" i="7"/>
  <c r="I38" i="7"/>
  <c r="I36" i="7"/>
  <c r="I35" i="7"/>
  <c r="I34" i="7"/>
  <c r="I33" i="7"/>
  <c r="I32" i="7"/>
  <c r="I31" i="7"/>
  <c r="I30" i="7"/>
  <c r="I29" i="7"/>
  <c r="I28" i="7"/>
  <c r="I27" i="7"/>
  <c r="I25" i="7"/>
  <c r="I21" i="7"/>
  <c r="I20" i="7"/>
  <c r="I19" i="7"/>
  <c r="I18" i="7"/>
  <c r="I17" i="7"/>
  <c r="I16" i="7"/>
  <c r="I15" i="7"/>
  <c r="I14" i="7"/>
  <c r="I13" i="7"/>
  <c r="I12" i="7"/>
  <c r="I11" i="7"/>
  <c r="I10" i="7"/>
  <c r="I9" i="7"/>
  <c r="I7" i="7"/>
  <c r="G33" i="6" l="1"/>
  <c r="G41" i="21"/>
  <c r="G20" i="21" l="1"/>
  <c r="Y17" i="21"/>
  <c r="G14" i="21"/>
  <c r="G8" i="21"/>
  <c r="AC9" i="4"/>
  <c r="AC10" i="4"/>
  <c r="G21" i="21" l="1"/>
  <c r="G22" i="21" s="1"/>
  <c r="G51" i="21"/>
  <c r="G60" i="21"/>
  <c r="G101" i="21"/>
  <c r="G109" i="21"/>
  <c r="G105" i="21"/>
  <c r="G86" i="21"/>
  <c r="G76" i="21"/>
  <c r="J44" i="7"/>
  <c r="G111" i="21" l="1"/>
  <c r="G112" i="21" s="1"/>
  <c r="G113" i="21" s="1"/>
  <c r="E1538" i="18"/>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s="1"/>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6" i="21"/>
  <c r="Y15" i="21"/>
  <c r="Y14" i="21"/>
  <c r="Y13" i="21"/>
  <c r="Y12" i="21"/>
  <c r="Y11" i="21"/>
  <c r="Y10" i="21"/>
  <c r="Y9" i="21"/>
  <c r="Y8" i="21"/>
  <c r="Y7" i="21"/>
  <c r="Y6" i="21"/>
  <c r="Y5" i="21"/>
  <c r="Y4" i="21"/>
  <c r="A11" i="17"/>
  <c r="B11" i="17" s="1"/>
  <c r="B3" i="20"/>
  <c r="B2" i="20"/>
  <c r="C7" i="20" s="1"/>
  <c r="B1" i="20"/>
  <c r="D39" i="25"/>
  <c r="C39" i="25"/>
  <c r="L1" i="25"/>
  <c r="H1" i="25"/>
  <c r="C1" i="25"/>
  <c r="J22" i="24"/>
  <c r="J18" i="24"/>
  <c r="I18" i="24"/>
  <c r="N15" i="24"/>
  <c r="N12" i="24"/>
  <c r="I1" i="24"/>
  <c r="F1" i="24"/>
  <c r="B1" i="24"/>
  <c r="F43" i="23"/>
  <c r="E43" i="23"/>
  <c r="D43" i="23"/>
  <c r="G42" i="23"/>
  <c r="G41" i="23"/>
  <c r="N40" i="23"/>
  <c r="G40" i="23"/>
  <c r="G39" i="23"/>
  <c r="G38"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M15" i="23" a="1"/>
  <c r="M15" i="23" s="1"/>
  <c r="K15" i="23" a="1"/>
  <c r="K15" i="23" s="1"/>
  <c r="J15" i="23" a="1"/>
  <c r="J15" i="23" s="1"/>
  <c r="H15" i="23" a="1"/>
  <c r="H15" i="23" s="1"/>
  <c r="G15" i="23" a="1"/>
  <c r="G15" i="23" s="1"/>
  <c r="F15" i="23" a="1"/>
  <c r="F15" i="23" s="1"/>
  <c r="E15" i="23" a="1"/>
  <c r="E15" i="23" s="1"/>
  <c r="D15" i="23" a="1"/>
  <c r="D15" i="23" s="1"/>
  <c r="M14" i="23" a="1"/>
  <c r="M14" i="23" s="1"/>
  <c r="K14" i="23" a="1"/>
  <c r="K14" i="23" s="1"/>
  <c r="J14" i="23" a="1"/>
  <c r="J14" i="23" s="1"/>
  <c r="H14" i="23" a="1"/>
  <c r="H14" i="23" s="1"/>
  <c r="G14" i="23" a="1"/>
  <c r="G14" i="23" s="1"/>
  <c r="F14" i="23" a="1"/>
  <c r="F14" i="23" s="1"/>
  <c r="E14" i="23" a="1"/>
  <c r="E14" i="23" s="1"/>
  <c r="D14" i="23" a="1"/>
  <c r="D14" i="23" s="1"/>
  <c r="M13" i="23" a="1"/>
  <c r="M13"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F10" i="23" a="1"/>
  <c r="F10" i="23" s="1"/>
  <c r="E10" i="23" a="1"/>
  <c r="E10" i="23" s="1"/>
  <c r="D10" i="23" a="1"/>
  <c r="D10" i="23" s="1"/>
  <c r="L1" i="23"/>
  <c r="H1" i="23"/>
  <c r="B1" i="23"/>
  <c r="K60" i="15"/>
  <c r="K59" i="15"/>
  <c r="K39" i="15"/>
  <c r="D35" i="15" a="1"/>
  <c r="D35" i="15" s="1"/>
  <c r="D34" i="15" a="1"/>
  <c r="D34" i="15" s="1"/>
  <c r="D33" i="15" a="1"/>
  <c r="D33" i="15" s="1"/>
  <c r="K23" i="15"/>
  <c r="AA12" i="15"/>
  <c r="AA11" i="15"/>
  <c r="K1" i="15"/>
  <c r="F1" i="15"/>
  <c r="B1" i="15"/>
  <c r="M40" i="4"/>
  <c r="I23" i="24" s="1"/>
  <c r="L40" i="4"/>
  <c r="J23" i="24" s="1"/>
  <c r="I40" i="4"/>
  <c r="F23" i="24" s="1"/>
  <c r="K39" i="4"/>
  <c r="G39" i="4"/>
  <c r="K38" i="4"/>
  <c r="G38" i="4"/>
  <c r="K37" i="4"/>
  <c r="G37" i="4"/>
  <c r="K36" i="4"/>
  <c r="G36" i="4"/>
  <c r="K35" i="4"/>
  <c r="G35" i="4"/>
  <c r="K34" i="4"/>
  <c r="G34" i="4"/>
  <c r="K33" i="4"/>
  <c r="G33" i="4"/>
  <c r="K32" i="4"/>
  <c r="G32" i="4"/>
  <c r="K31" i="4"/>
  <c r="G31" i="4"/>
  <c r="K30" i="4"/>
  <c r="G30" i="4"/>
  <c r="K29" i="4"/>
  <c r="G29" i="4"/>
  <c r="K28" i="4"/>
  <c r="G28" i="4"/>
  <c r="Z25" i="4" a="1"/>
  <c r="Z25" i="4" s="1"/>
  <c r="Q25" i="4" a="1"/>
  <c r="Q25" i="4" s="1"/>
  <c r="K25" i="4" a="1"/>
  <c r="K25" i="4" s="1"/>
  <c r="H25" i="4" a="1"/>
  <c r="H25" i="4" s="1"/>
  <c r="M23" i="4"/>
  <c r="I22" i="24" s="1"/>
  <c r="L23" i="4"/>
  <c r="I23" i="4"/>
  <c r="F22" i="24" s="1"/>
  <c r="K22" i="4"/>
  <c r="H22" i="4"/>
  <c r="G22" i="4"/>
  <c r="K21" i="4"/>
  <c r="H21" i="4"/>
  <c r="G21" i="4"/>
  <c r="K20" i="4"/>
  <c r="H20" i="4"/>
  <c r="G20" i="4"/>
  <c r="K19" i="4"/>
  <c r="H19" i="4"/>
  <c r="G19" i="4"/>
  <c r="K18" i="4"/>
  <c r="H18" i="4"/>
  <c r="G18" i="4"/>
  <c r="K17" i="4"/>
  <c r="H17" i="4"/>
  <c r="G17" i="4"/>
  <c r="K16" i="4"/>
  <c r="H16" i="4"/>
  <c r="G16" i="4"/>
  <c r="K15" i="4"/>
  <c r="H15" i="4"/>
  <c r="G15" i="4"/>
  <c r="K14" i="4"/>
  <c r="H14" i="4"/>
  <c r="G14" i="4"/>
  <c r="K13" i="4"/>
  <c r="H13" i="4"/>
  <c r="G13" i="4"/>
  <c r="K12" i="4"/>
  <c r="H12" i="4"/>
  <c r="G12" i="4"/>
  <c r="K11" i="4"/>
  <c r="H11" i="4"/>
  <c r="G11" i="4"/>
  <c r="K10" i="4"/>
  <c r="H10" i="4"/>
  <c r="G10" i="4"/>
  <c r="K9" i="4"/>
  <c r="H9" i="4"/>
  <c r="G9" i="4"/>
  <c r="AC8" i="4"/>
  <c r="K8" i="4"/>
  <c r="H8" i="4"/>
  <c r="G8" i="4"/>
  <c r="AC7" i="4"/>
  <c r="K7" i="4"/>
  <c r="H7" i="4"/>
  <c r="G7" i="4"/>
  <c r="AC6" i="4"/>
  <c r="K6" i="4"/>
  <c r="H6" i="4"/>
  <c r="G6" i="4"/>
  <c r="N1" i="4"/>
  <c r="H1" i="4"/>
  <c r="B1" i="4"/>
  <c r="D19" i="5"/>
  <c r="Q11" i="5"/>
  <c r="P11" i="5"/>
  <c r="O11" i="5"/>
  <c r="N11" i="5"/>
  <c r="M11" i="5"/>
  <c r="L11" i="5"/>
  <c r="K11" i="5"/>
  <c r="J11" i="5"/>
  <c r="I11" i="5"/>
  <c r="H11" i="5"/>
  <c r="G11" i="5"/>
  <c r="F11" i="5"/>
  <c r="E11" i="5"/>
  <c r="R10" i="5"/>
  <c r="AA9" i="5"/>
  <c r="R9" i="5"/>
  <c r="AA8" i="5"/>
  <c r="R8" i="5"/>
  <c r="V1" i="5"/>
  <c r="L1" i="5"/>
  <c r="D1" i="5"/>
  <c r="G39" i="6"/>
  <c r="T31" i="6"/>
  <c r="F29" i="6"/>
  <c r="G20" i="6"/>
  <c r="G11" i="6"/>
  <c r="F11" i="6"/>
  <c r="AA9" i="6"/>
  <c r="AA8" i="6"/>
  <c r="U1" i="6"/>
  <c r="L1" i="6"/>
  <c r="C1" i="6"/>
  <c r="B21" i="24"/>
  <c r="L47" i="14"/>
  <c r="K47" i="14"/>
  <c r="J47" i="14"/>
  <c r="I47" i="14"/>
  <c r="H47" i="14"/>
  <c r="L43" i="14"/>
  <c r="K43" i="14"/>
  <c r="J43" i="14"/>
  <c r="I43" i="14"/>
  <c r="H43" i="14"/>
  <c r="L42" i="14"/>
  <c r="K42" i="14"/>
  <c r="J42" i="14"/>
  <c r="I42" i="14"/>
  <c r="H42" i="14"/>
  <c r="L41" i="14"/>
  <c r="K41" i="14"/>
  <c r="J41" i="14"/>
  <c r="I41" i="14"/>
  <c r="H41" i="14"/>
  <c r="L40" i="14"/>
  <c r="K40" i="14"/>
  <c r="J40" i="14"/>
  <c r="I40" i="14"/>
  <c r="H40" i="14"/>
  <c r="L39" i="14"/>
  <c r="K39" i="14"/>
  <c r="J39" i="14"/>
  <c r="I39" i="14"/>
  <c r="H39" i="14"/>
  <c r="L38" i="14"/>
  <c r="K38" i="14"/>
  <c r="J38" i="14"/>
  <c r="I38" i="14"/>
  <c r="H38" i="14"/>
  <c r="L37" i="14"/>
  <c r="K37" i="14"/>
  <c r="J37" i="14"/>
  <c r="I37" i="14"/>
  <c r="H37" i="14"/>
  <c r="L35" i="14"/>
  <c r="K35" i="14"/>
  <c r="J35" i="14"/>
  <c r="I35" i="14"/>
  <c r="H35" i="14"/>
  <c r="G31" i="14"/>
  <c r="G30" i="14"/>
  <c r="B20" i="24"/>
  <c r="L25" i="14"/>
  <c r="K25" i="14"/>
  <c r="J25" i="14"/>
  <c r="I25" i="14"/>
  <c r="H25" i="14"/>
  <c r="L21" i="14"/>
  <c r="K21" i="14"/>
  <c r="J21" i="14"/>
  <c r="I21" i="14"/>
  <c r="H21" i="14"/>
  <c r="L20" i="14"/>
  <c r="K20" i="14"/>
  <c r="J20" i="14"/>
  <c r="I20" i="14"/>
  <c r="H20" i="14"/>
  <c r="L19" i="14"/>
  <c r="K19" i="14"/>
  <c r="J19" i="14"/>
  <c r="I19" i="14"/>
  <c r="H19" i="14"/>
  <c r="L18" i="14"/>
  <c r="K18" i="14"/>
  <c r="J18" i="14"/>
  <c r="I18" i="14"/>
  <c r="H18" i="14"/>
  <c r="L17" i="14"/>
  <c r="K17" i="14"/>
  <c r="J17" i="14"/>
  <c r="I17" i="14"/>
  <c r="H17" i="14"/>
  <c r="L16" i="14"/>
  <c r="K16" i="14"/>
  <c r="J16" i="14"/>
  <c r="I16" i="14"/>
  <c r="H16" i="14"/>
  <c r="L15" i="14"/>
  <c r="K15" i="14"/>
  <c r="J15" i="14"/>
  <c r="I15" i="14"/>
  <c r="H15" i="14"/>
  <c r="L13" i="14"/>
  <c r="K13" i="14"/>
  <c r="J13" i="14"/>
  <c r="I13" i="14"/>
  <c r="H13" i="14"/>
  <c r="G9" i="14"/>
  <c r="G8" i="14"/>
  <c r="O1" i="14"/>
  <c r="J1" i="14"/>
  <c r="D1" i="14"/>
  <c r="G28" i="12"/>
  <c r="F16" i="12"/>
  <c r="D19" i="24" s="1"/>
  <c r="B19" i="24"/>
  <c r="G11" i="12"/>
  <c r="F11" i="12"/>
  <c r="I10" i="12"/>
  <c r="I9" i="12"/>
  <c r="I8" i="12"/>
  <c r="AA7" i="12"/>
  <c r="I7" i="12"/>
  <c r="M1" i="12"/>
  <c r="H1" i="12"/>
  <c r="C1" i="12"/>
  <c r="F26" i="22"/>
  <c r="F25" i="22"/>
  <c r="B18" i="24"/>
  <c r="G18" i="22"/>
  <c r="H43" i="7" s="1"/>
  <c r="H12" i="22"/>
  <c r="G12" i="22"/>
  <c r="F12" i="22"/>
  <c r="H11" i="22"/>
  <c r="K11" i="22" s="1"/>
  <c r="I10" i="22"/>
  <c r="H10" i="22"/>
  <c r="G10" i="22"/>
  <c r="F10" i="22"/>
  <c r="I9" i="22"/>
  <c r="H9" i="22"/>
  <c r="G9" i="22"/>
  <c r="F9" i="22"/>
  <c r="I8" i="22"/>
  <c r="H8" i="22"/>
  <c r="G8" i="22"/>
  <c r="F8" i="22"/>
  <c r="J1" i="22"/>
  <c r="G1" i="22"/>
  <c r="D1" i="22"/>
  <c r="L44" i="7"/>
  <c r="G16" i="24"/>
  <c r="H41" i="7"/>
  <c r="G41" i="7"/>
  <c r="F41" i="7"/>
  <c r="E41" i="7"/>
  <c r="D41" i="7"/>
  <c r="G15" i="24"/>
  <c r="H40" i="7"/>
  <c r="G40" i="7"/>
  <c r="F40" i="7"/>
  <c r="E40" i="7"/>
  <c r="D40" i="7"/>
  <c r="G14" i="24"/>
  <c r="H39" i="7"/>
  <c r="G39" i="7"/>
  <c r="F39" i="7"/>
  <c r="E39" i="7"/>
  <c r="D39" i="7"/>
  <c r="G13" i="24"/>
  <c r="H38" i="7"/>
  <c r="G38" i="7"/>
  <c r="F38" i="7"/>
  <c r="E38" i="7"/>
  <c r="D38"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H25" i="7"/>
  <c r="G25" i="7"/>
  <c r="F25" i="7"/>
  <c r="E25" i="7"/>
  <c r="D25"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H9" i="7"/>
  <c r="G9" i="7"/>
  <c r="F9" i="7"/>
  <c r="E9" i="7"/>
  <c r="D9" i="7"/>
  <c r="H7" i="7"/>
  <c r="G7" i="7"/>
  <c r="F7" i="7"/>
  <c r="E7" i="7"/>
  <c r="D7" i="7"/>
  <c r="L1" i="7"/>
  <c r="G1" i="7"/>
  <c r="B1" i="7"/>
  <c r="H37" i="8"/>
  <c r="H36" i="8"/>
  <c r="H35" i="8"/>
  <c r="H34" i="8"/>
  <c r="H33" i="8"/>
  <c r="H32" i="8"/>
  <c r="H29" i="8"/>
  <c r="H28" i="8"/>
  <c r="H27" i="8"/>
  <c r="H26" i="8"/>
  <c r="H25" i="8"/>
  <c r="H22" i="8"/>
  <c r="H21" i="8"/>
  <c r="H20" i="8"/>
  <c r="H17" i="8"/>
  <c r="H16" i="8"/>
  <c r="H15" i="8"/>
  <c r="H14" i="8"/>
  <c r="H13" i="8"/>
  <c r="H12" i="8"/>
  <c r="H11" i="8"/>
  <c r="J10" i="8"/>
  <c r="H10" i="8"/>
  <c r="H9" i="8"/>
  <c r="H8" i="8"/>
  <c r="H7" i="8"/>
  <c r="H6" i="8"/>
  <c r="H5" i="8"/>
  <c r="M1" i="8"/>
  <c r="H1" i="8"/>
  <c r="C1" i="8"/>
  <c r="T20" i="2"/>
  <c r="G43" i="23" l="1"/>
  <c r="H45" i="23" s="1"/>
  <c r="I11" i="12"/>
  <c r="H19" i="24" s="1"/>
  <c r="K19" i="24" s="1"/>
  <c r="D18" i="23" a="1"/>
  <c r="D18" i="23" s="1"/>
  <c r="D19" i="23" s="1"/>
  <c r="F18" i="23" a="1"/>
  <c r="F18" i="23" s="1"/>
  <c r="F19" i="23" s="1"/>
  <c r="K18" i="23" a="1"/>
  <c r="K18" i="23" s="1"/>
  <c r="K19" i="23" s="1"/>
  <c r="J18" i="23" a="1"/>
  <c r="J18" i="23" s="1"/>
  <c r="J19" i="23" s="1"/>
  <c r="G18" i="23" a="1"/>
  <c r="G18" i="23" s="1"/>
  <c r="G19" i="23" s="1"/>
  <c r="H18" i="23" a="1"/>
  <c r="H18" i="23" s="1"/>
  <c r="H19" i="23" s="1"/>
  <c r="E18" i="23" a="1"/>
  <c r="E18" i="23" s="1"/>
  <c r="E19" i="23" s="1"/>
  <c r="AC11" i="4"/>
  <c r="M42" i="4"/>
  <c r="L42" i="4"/>
  <c r="I42" i="4"/>
  <c r="R11" i="5"/>
  <c r="E1130" i="18"/>
  <c r="I14" i="15" s="1"/>
  <c r="E1454" i="18"/>
  <c r="E671" i="18"/>
  <c r="E1035" i="18"/>
  <c r="H26" i="15" s="1"/>
  <c r="G32" i="14"/>
  <c r="G48" i="14" s="1"/>
  <c r="D21" i="24" s="1"/>
  <c r="E678" i="18"/>
  <c r="E134" i="18"/>
  <c r="E15" i="15" s="1"/>
  <c r="E1247" i="18"/>
  <c r="E951" i="18"/>
  <c r="H11" i="15" s="1"/>
  <c r="E1028" i="18"/>
  <c r="H22" i="15" s="1"/>
  <c r="J30" i="7"/>
  <c r="L30" i="7" s="1"/>
  <c r="J41" i="7"/>
  <c r="H16" i="24" s="1"/>
  <c r="J11" i="7"/>
  <c r="L11" i="7" s="1"/>
  <c r="J13" i="7"/>
  <c r="L13" i="7" s="1"/>
  <c r="E197" i="18"/>
  <c r="E26" i="15" s="1"/>
  <c r="E71" i="18"/>
  <c r="D21" i="15" s="1"/>
  <c r="E169" i="18"/>
  <c r="E19" i="15" s="1"/>
  <c r="AA13" i="15"/>
  <c r="AA14" i="15" s="1"/>
  <c r="N11" i="23"/>
  <c r="E85" i="18"/>
  <c r="D22" i="15" s="1"/>
  <c r="E986" i="18"/>
  <c r="I13" i="22"/>
  <c r="G43" i="7" s="1"/>
  <c r="G40" i="4"/>
  <c r="D23" i="24" s="1"/>
  <c r="E120" i="18"/>
  <c r="E13" i="15" s="1"/>
  <c r="E650" i="18"/>
  <c r="G14" i="15" s="1"/>
  <c r="E1494" i="18"/>
  <c r="E535" i="18"/>
  <c r="F22" i="15" s="1"/>
  <c r="E1280" i="18"/>
  <c r="E1368" i="18"/>
  <c r="N42" i="14"/>
  <c r="E29" i="18"/>
  <c r="D15" i="15" s="1"/>
  <c r="E1258" i="18"/>
  <c r="E1225" i="18"/>
  <c r="E1479" i="18"/>
  <c r="J15" i="7"/>
  <c r="L15" i="7" s="1"/>
  <c r="J17" i="7"/>
  <c r="L17" i="7" s="1"/>
  <c r="J19" i="7"/>
  <c r="L19" i="7" s="1"/>
  <c r="J21" i="7"/>
  <c r="N16" i="14"/>
  <c r="E176" i="18"/>
  <c r="E21" i="15" s="1"/>
  <c r="E373" i="18"/>
  <c r="E657" i="18"/>
  <c r="G15" i="15" s="1"/>
  <c r="E1007" i="18"/>
  <c r="H19" i="15" s="1"/>
  <c r="E1137" i="18"/>
  <c r="I15" i="15" s="1"/>
  <c r="E1469" i="18"/>
  <c r="E127" i="18"/>
  <c r="E14" i="15" s="1"/>
  <c r="E1116" i="18"/>
  <c r="I11" i="15" s="1"/>
  <c r="E1236" i="18"/>
  <c r="K40" i="4"/>
  <c r="H23" i="24" s="1"/>
  <c r="J9" i="7"/>
  <c r="L8" i="7" s="1"/>
  <c r="E636" i="18"/>
  <c r="G11" i="15" s="1"/>
  <c r="E1061" i="18"/>
  <c r="E1459" i="18"/>
  <c r="E15" i="18"/>
  <c r="D13" i="15" s="1"/>
  <c r="E36" i="18"/>
  <c r="D16" i="15" s="1"/>
  <c r="E664" i="18"/>
  <c r="G16" i="15" s="1"/>
  <c r="E1144" i="18"/>
  <c r="I16" i="15" s="1"/>
  <c r="E1165" i="18"/>
  <c r="I18" i="15" s="1"/>
  <c r="J10" i="7"/>
  <c r="L10" i="7" s="1"/>
  <c r="J44" i="14"/>
  <c r="J48" i="14" s="1"/>
  <c r="F46" i="7" s="1"/>
  <c r="E162" i="18"/>
  <c r="E18" i="15" s="1"/>
  <c r="E685" i="18"/>
  <c r="G18" i="15" s="1"/>
  <c r="E1123" i="18"/>
  <c r="I13" i="15" s="1"/>
  <c r="E1269" i="18"/>
  <c r="E1489" i="18"/>
  <c r="J38" i="7"/>
  <c r="H13" i="24" s="1"/>
  <c r="J40" i="7"/>
  <c r="H15" i="24" s="1"/>
  <c r="N17" i="14"/>
  <c r="E43" i="18"/>
  <c r="E106" i="18"/>
  <c r="D24" i="15" s="1"/>
  <c r="E190" i="18"/>
  <c r="E22" i="15" s="1"/>
  <c r="J18" i="7"/>
  <c r="L18" i="7" s="1"/>
  <c r="N39" i="14"/>
  <c r="N12" i="23"/>
  <c r="E692" i="18"/>
  <c r="G19" i="15" s="1"/>
  <c r="E1082" i="18"/>
  <c r="F23" i="4" a="1"/>
  <c r="F23" i="4" s="1"/>
  <c r="F40" i="4" a="1"/>
  <c r="F40" i="4" s="1"/>
  <c r="C23" i="24" s="1"/>
  <c r="AA18" i="22"/>
  <c r="J16" i="7"/>
  <c r="L16" i="7" s="1"/>
  <c r="K44" i="14"/>
  <c r="K48" i="14" s="1"/>
  <c r="G46" i="7" s="1"/>
  <c r="N31" i="4"/>
  <c r="N35" i="4"/>
  <c r="N39" i="4"/>
  <c r="E1504" i="18"/>
  <c r="E1523" i="18"/>
  <c r="J14" i="7"/>
  <c r="L14" i="7" s="1"/>
  <c r="J28" i="7"/>
  <c r="L28" i="7" s="1"/>
  <c r="K9" i="22"/>
  <c r="L44" i="14"/>
  <c r="L48" i="14" s="1"/>
  <c r="H46" i="7" s="1"/>
  <c r="G23" i="4"/>
  <c r="E292" i="18"/>
  <c r="F14" i="15" s="1"/>
  <c r="E346" i="18"/>
  <c r="F16" i="15" s="1"/>
  <c r="E1109" i="18"/>
  <c r="E1193" i="18"/>
  <c r="I22" i="15" s="1"/>
  <c r="E1302" i="18"/>
  <c r="E1474" i="18"/>
  <c r="AA17" i="8"/>
  <c r="J12" i="7"/>
  <c r="L12" i="7" s="1"/>
  <c r="J35" i="7"/>
  <c r="L35" i="7" s="1"/>
  <c r="G10" i="14"/>
  <c r="G26" i="14" s="1"/>
  <c r="D20" i="24" s="1"/>
  <c r="N19" i="14"/>
  <c r="E238" i="18"/>
  <c r="E400" i="18"/>
  <c r="E576" i="18"/>
  <c r="E972" i="18"/>
  <c r="H15" i="15" s="1"/>
  <c r="E1000" i="18"/>
  <c r="H18" i="15" s="1"/>
  <c r="D37" i="7"/>
  <c r="H22" i="14"/>
  <c r="H26" i="14" s="1"/>
  <c r="D45" i="7" s="1"/>
  <c r="I22" i="14"/>
  <c r="I26" i="14" s="1"/>
  <c r="E45" i="7" s="1"/>
  <c r="N17" i="23"/>
  <c r="E57" i="18"/>
  <c r="D18" i="15" s="1"/>
  <c r="E92" i="18"/>
  <c r="D26" i="15" s="1"/>
  <c r="E454" i="18"/>
  <c r="F19" i="15" s="1"/>
  <c r="E713" i="18"/>
  <c r="G22" i="15" s="1"/>
  <c r="E1056" i="18"/>
  <c r="E1200" i="18"/>
  <c r="I26" i="15" s="1"/>
  <c r="E1388" i="18"/>
  <c r="E1518" i="18"/>
  <c r="D23" i="7"/>
  <c r="E37" i="7"/>
  <c r="J33" i="7"/>
  <c r="L33" i="7" s="1"/>
  <c r="N25" i="14"/>
  <c r="N28" i="4"/>
  <c r="N32" i="4"/>
  <c r="N36" i="4"/>
  <c r="N14" i="23"/>
  <c r="E8" i="18"/>
  <c r="D11" i="15" s="1"/>
  <c r="E113" i="18"/>
  <c r="E11" i="15" s="1"/>
  <c r="E141" i="18"/>
  <c r="E16" i="15" s="1"/>
  <c r="E211" i="18"/>
  <c r="E24" i="15" s="1"/>
  <c r="E1346" i="18"/>
  <c r="E1528" i="18"/>
  <c r="E23" i="7"/>
  <c r="F37" i="7"/>
  <c r="J22" i="14"/>
  <c r="J26" i="14" s="1"/>
  <c r="F45" i="7" s="1"/>
  <c r="N37" i="14"/>
  <c r="E64" i="18"/>
  <c r="D19" i="15" s="1"/>
  <c r="E720" i="18"/>
  <c r="G26" i="15" s="1"/>
  <c r="E1464" i="18"/>
  <c r="F23" i="7"/>
  <c r="G37" i="7"/>
  <c r="J31" i="7"/>
  <c r="L31" i="7" s="1"/>
  <c r="K22" i="14"/>
  <c r="K26" i="14" s="1"/>
  <c r="G45" i="7" s="1"/>
  <c r="N7" i="4"/>
  <c r="N16" i="4"/>
  <c r="H23" i="4"/>
  <c r="E22" i="24" s="1"/>
  <c r="E979" i="18"/>
  <c r="H16" i="15" s="1"/>
  <c r="E1049" i="18"/>
  <c r="H24" i="15" s="1"/>
  <c r="E1172" i="18"/>
  <c r="I19" i="15" s="1"/>
  <c r="E1214" i="18"/>
  <c r="I24" i="15" s="1"/>
  <c r="G23" i="7"/>
  <c r="H37" i="7"/>
  <c r="G13" i="22"/>
  <c r="E43" i="7" s="1"/>
  <c r="L22" i="14"/>
  <c r="L26" i="14" s="1"/>
  <c r="H45" i="7" s="1"/>
  <c r="E1313" i="18"/>
  <c r="E1449" i="18"/>
  <c r="E1533" i="18"/>
  <c r="H23" i="7"/>
  <c r="J29" i="7"/>
  <c r="L29" i="7" s="1"/>
  <c r="J39" i="7"/>
  <c r="H14" i="24" s="1"/>
  <c r="F27" i="22"/>
  <c r="D18" i="24" s="1"/>
  <c r="N40" i="14"/>
  <c r="N43" i="14"/>
  <c r="N29" i="4"/>
  <c r="N33" i="4"/>
  <c r="N13" i="23"/>
  <c r="E734" i="18"/>
  <c r="G24" i="15" s="1"/>
  <c r="J36" i="7"/>
  <c r="L36" i="7" s="1"/>
  <c r="N20" i="14"/>
  <c r="N38" i="14"/>
  <c r="N16" i="23"/>
  <c r="E265" i="18"/>
  <c r="F13" i="15" s="1"/>
  <c r="J27" i="7"/>
  <c r="L26" i="7" s="1"/>
  <c r="N14" i="14"/>
  <c r="K23" i="4"/>
  <c r="G40" i="6" s="1"/>
  <c r="AA7" i="6" s="1"/>
  <c r="AA10" i="6" s="1"/>
  <c r="N20" i="4"/>
  <c r="E148" i="18"/>
  <c r="E319" i="18"/>
  <c r="F15" i="15" s="1"/>
  <c r="E481" i="18"/>
  <c r="F21" i="15" s="1"/>
  <c r="E958" i="18"/>
  <c r="H13" i="15" s="1"/>
  <c r="E1014" i="18"/>
  <c r="H21" i="15" s="1"/>
  <c r="E1151" i="18"/>
  <c r="E1179" i="18"/>
  <c r="I21" i="15" s="1"/>
  <c r="J34" i="7"/>
  <c r="L34" i="7" s="1"/>
  <c r="E562" i="18"/>
  <c r="F26" i="15" s="1"/>
  <c r="E643" i="18"/>
  <c r="G13" i="15" s="1"/>
  <c r="E1291" i="18"/>
  <c r="E1357" i="18"/>
  <c r="F13" i="22"/>
  <c r="D43" i="7" s="1"/>
  <c r="N41" i="14"/>
  <c r="N8" i="4"/>
  <c r="N11" i="4"/>
  <c r="N14" i="4"/>
  <c r="E155" i="18"/>
  <c r="E427" i="18"/>
  <c r="F18" i="15" s="1"/>
  <c r="E1499" i="18"/>
  <c r="E1539" i="18"/>
  <c r="J22" i="7"/>
  <c r="J32" i="7"/>
  <c r="L32" i="7" s="1"/>
  <c r="H44" i="14"/>
  <c r="H48" i="14" s="1"/>
  <c r="D46" i="7" s="1"/>
  <c r="I44" i="14"/>
  <c r="I48" i="14" s="1"/>
  <c r="E46" i="7" s="1"/>
  <c r="E22" i="18"/>
  <c r="D14" i="15" s="1"/>
  <c r="E50" i="18"/>
  <c r="E699" i="18"/>
  <c r="G21" i="15" s="1"/>
  <c r="E1335" i="18"/>
  <c r="D36" i="15" s="1"/>
  <c r="E1484" i="18"/>
  <c r="J20" i="7"/>
  <c r="L20" i="7" s="1"/>
  <c r="H13" i="22"/>
  <c r="F43" i="7" s="1"/>
  <c r="K12" i="22"/>
  <c r="N18" i="14"/>
  <c r="N21" i="14"/>
  <c r="N47" i="14"/>
  <c r="N15" i="23"/>
  <c r="E589" i="18"/>
  <c r="E602" i="18"/>
  <c r="E965" i="18"/>
  <c r="H14" i="15" s="1"/>
  <c r="E993" i="18"/>
  <c r="E1158" i="18"/>
  <c r="K10" i="22"/>
  <c r="N10" i="4"/>
  <c r="N13" i="4"/>
  <c r="H30" i="8"/>
  <c r="J25" i="7"/>
  <c r="K8" i="22"/>
  <c r="N17" i="4"/>
  <c r="J7" i="7"/>
  <c r="L6" i="7" s="1"/>
  <c r="H38" i="8"/>
  <c r="N13" i="14"/>
  <c r="N35" i="14"/>
  <c r="N21" i="4"/>
  <c r="N6" i="4"/>
  <c r="N18" i="4"/>
  <c r="N30" i="4"/>
  <c r="N34" i="4"/>
  <c r="N38" i="4"/>
  <c r="N15" i="4"/>
  <c r="H18" i="8"/>
  <c r="N9" i="4"/>
  <c r="N12" i="4"/>
  <c r="N22" i="4"/>
  <c r="G25" i="4"/>
  <c r="N25" i="4" s="1"/>
  <c r="H23" i="8"/>
  <c r="N19" i="4"/>
  <c r="N10" i="23"/>
  <c r="L10" i="8"/>
  <c r="I37" i="7"/>
  <c r="F20" i="6"/>
  <c r="S23" i="5"/>
  <c r="J40" i="4"/>
  <c r="G23" i="24" s="1"/>
  <c r="I23" i="7"/>
  <c r="G11" i="24" s="1"/>
  <c r="J23" i="4"/>
  <c r="G22" i="24" s="1"/>
  <c r="M22" i="14"/>
  <c r="M26" i="14" s="1"/>
  <c r="G20" i="24" s="1"/>
  <c r="M44" i="14"/>
  <c r="M48" i="14" s="1"/>
  <c r="G21" i="24" s="1"/>
  <c r="H11" i="12"/>
  <c r="G19" i="24" s="1"/>
  <c r="J13" i="22"/>
  <c r="G18" i="24" s="1"/>
  <c r="E40" i="4"/>
  <c r="B23" i="24" s="1"/>
  <c r="T32" i="6"/>
  <c r="K37" i="7"/>
  <c r="K23" i="7"/>
  <c r="E23" i="4"/>
  <c r="N37" i="4"/>
  <c r="F17" i="12"/>
  <c r="M18" i="23" a="1"/>
  <c r="M18" i="23" s="1"/>
  <c r="M19" i="23" s="1"/>
  <c r="G41" i="6" l="1"/>
  <c r="F18" i="12"/>
  <c r="F19" i="12" s="1"/>
  <c r="E48" i="15"/>
  <c r="L41" i="7"/>
  <c r="G42" i="4"/>
  <c r="G17" i="15"/>
  <c r="G23" i="15" s="1"/>
  <c r="D17" i="15"/>
  <c r="D23" i="15" s="1"/>
  <c r="H42" i="4"/>
  <c r="H17" i="15"/>
  <c r="H23" i="15" s="1"/>
  <c r="J15" i="15"/>
  <c r="E42" i="7"/>
  <c r="J24" i="15"/>
  <c r="F17" i="15"/>
  <c r="E93" i="18"/>
  <c r="D25" i="15" s="1"/>
  <c r="G42" i="7"/>
  <c r="J45" i="7"/>
  <c r="L45" i="7" s="1"/>
  <c r="J19" i="15"/>
  <c r="L40" i="7"/>
  <c r="L38" i="7"/>
  <c r="L21" i="7"/>
  <c r="J18" i="15"/>
  <c r="E50" i="15"/>
  <c r="E563" i="18"/>
  <c r="J46" i="7"/>
  <c r="L46" i="7" s="1"/>
  <c r="I17" i="15"/>
  <c r="H42" i="7"/>
  <c r="J22" i="15"/>
  <c r="E198" i="18"/>
  <c r="E25" i="15" s="1"/>
  <c r="K13" i="22"/>
  <c r="F29" i="22" s="1"/>
  <c r="D22" i="24"/>
  <c r="F42" i="7"/>
  <c r="J21" i="15"/>
  <c r="J13" i="15"/>
  <c r="F28" i="22"/>
  <c r="E1534" i="18"/>
  <c r="J37" i="7"/>
  <c r="J42" i="4"/>
  <c r="N40" i="4"/>
  <c r="I42" i="7"/>
  <c r="I48" i="7" s="1"/>
  <c r="K23" i="24"/>
  <c r="N23" i="4"/>
  <c r="C22" i="24"/>
  <c r="F42" i="4"/>
  <c r="E1369" i="18"/>
  <c r="E629" i="18"/>
  <c r="F24" i="15" s="1"/>
  <c r="J43" i="7"/>
  <c r="Q34" i="2" s="1"/>
  <c r="L24" i="7"/>
  <c r="H22" i="24"/>
  <c r="E1201" i="18"/>
  <c r="I25" i="15" s="1"/>
  <c r="K42" i="4"/>
  <c r="J47" i="7" s="1"/>
  <c r="L47" i="7" s="1"/>
  <c r="E17" i="15"/>
  <c r="E23" i="15" s="1"/>
  <c r="J26" i="15"/>
  <c r="L39" i="7"/>
  <c r="F11" i="15"/>
  <c r="J16" i="15"/>
  <c r="J23" i="7"/>
  <c r="H11" i="24" s="1"/>
  <c r="E1036" i="18"/>
  <c r="H25" i="15" s="1"/>
  <c r="J11" i="15"/>
  <c r="H40" i="8"/>
  <c r="N44" i="14"/>
  <c r="N48" i="14" s="1"/>
  <c r="E721" i="18"/>
  <c r="G25" i="15" s="1"/>
  <c r="J14" i="15"/>
  <c r="D42" i="7"/>
  <c r="N22" i="14"/>
  <c r="N26" i="14" s="1"/>
  <c r="H20" i="24" s="1"/>
  <c r="K20" i="24" s="1"/>
  <c r="E1505" i="18"/>
  <c r="N19" i="23"/>
  <c r="F45" i="23" s="1"/>
  <c r="F46" i="23" s="1"/>
  <c r="N18" i="23"/>
  <c r="G12" i="24"/>
  <c r="G17" i="24" s="1"/>
  <c r="K42" i="7"/>
  <c r="K48" i="7" s="1"/>
  <c r="E42" i="4"/>
  <c r="B22" i="24"/>
  <c r="J17" i="15" l="1"/>
  <c r="J23" i="15" s="1"/>
  <c r="D17" i="24"/>
  <c r="P30" i="23"/>
  <c r="L23" i="7"/>
  <c r="H12" i="24"/>
  <c r="H17" i="24" s="1"/>
  <c r="T16" i="5"/>
  <c r="I23" i="15"/>
  <c r="M30" i="23"/>
  <c r="F23" i="15"/>
  <c r="N30" i="23"/>
  <c r="F30" i="22"/>
  <c r="H18" i="24"/>
  <c r="K18" i="24" s="1"/>
  <c r="L43" i="7"/>
  <c r="J42" i="7"/>
  <c r="L42" i="7" s="1"/>
  <c r="L37" i="7"/>
  <c r="J25" i="15"/>
  <c r="H21" i="24"/>
  <c r="K21" i="24" s="1"/>
  <c r="O48" i="14"/>
  <c r="O26" i="14"/>
  <c r="N42" i="4"/>
  <c r="F25" i="15"/>
  <c r="O30" i="23"/>
  <c r="L30" i="23"/>
  <c r="K22" i="24"/>
  <c r="C9" i="25"/>
  <c r="K17" i="24" l="1"/>
  <c r="C11" i="25" s="1"/>
  <c r="AA11" i="5"/>
  <c r="AA12" i="5" s="1"/>
  <c r="T23" i="5"/>
  <c r="Q33" i="2"/>
  <c r="J48" i="7"/>
  <c r="N10" i="7" s="1"/>
  <c r="B12" i="2" s="1"/>
  <c r="C18" i="25" l="1"/>
  <c r="C21" i="25" s="1"/>
  <c r="A8" i="17"/>
  <c r="B8" i="17" s="1"/>
  <c r="A7" i="17"/>
  <c r="B7" i="17" s="1"/>
  <c r="A15" i="17"/>
  <c r="B15" i="17" s="1"/>
  <c r="K11" i="12"/>
  <c r="A3" i="17"/>
  <c r="B3" i="17" s="1"/>
  <c r="M12" i="22"/>
  <c r="B14" i="2" s="1"/>
  <c r="A5" i="17"/>
  <c r="B5" i="17" s="1"/>
  <c r="A12" i="17"/>
  <c r="B12" i="17" s="1"/>
  <c r="A6" i="17"/>
  <c r="B6" i="17" s="1"/>
  <c r="L48" i="7"/>
  <c r="K10" i="12"/>
  <c r="B18" i="2" s="1"/>
  <c r="A16" i="17"/>
  <c r="B16" i="17" s="1"/>
  <c r="A14" i="17"/>
  <c r="B14" i="17" s="1"/>
  <c r="H33" i="6"/>
  <c r="B16" i="2" s="1"/>
  <c r="A9" i="17"/>
  <c r="B9" i="17" s="1"/>
  <c r="A13" i="17"/>
  <c r="B13" i="17" s="1"/>
  <c r="N9" i="7"/>
  <c r="B10" i="2" s="1"/>
  <c r="A4" i="17"/>
  <c r="B4" i="17" s="1"/>
  <c r="A10" i="17"/>
  <c r="B10" i="17" s="1"/>
  <c r="L2" i="2" l="1"/>
  <c r="L4" i="2" s="1"/>
  <c r="A1"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<sst xmlns="http://schemas.openxmlformats.org/spreadsheetml/2006/main" count="3382" uniqueCount="1336">
  <si>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</si>
  <si>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</si>
  <si>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</si>
  <si>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</si>
  <si>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</si>
  <si>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</si>
  <si>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</si>
  <si>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</si>
  <si>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</si>
  <si>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</si>
  <si>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</si>
  <si>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</si>
  <si>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</si>
  <si>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</si>
  <si>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</si>
  <si>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</si>
  <si>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</si>
  <si>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</si>
  <si>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</si>
  <si>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</si>
  <si>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</si>
  <si>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</si>
  <si>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</si>
  <si>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</si>
  <si>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</si>
  <si>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</si>
  <si>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</si>
  <si>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</si>
  <si>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</si>
  <si>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</si>
  <si>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</si>
  <si>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</si>
  <si>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</si>
  <si>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</si>
  <si>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</si>
  <si>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</si>
  <si>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 xml:space="preserve">    1600  Food service (from Food Service AFR, line 2)</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</si>
  <si>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</si>
  <si>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</si>
  <si>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</si>
  <si>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</si>
  <si>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</si>
  <si>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</si>
  <si>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</si>
  <si>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</si>
  <si>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</si>
  <si>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 xml:space="preserve">    1900  Other revenues and gains from local sources</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</si>
  <si>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</si>
  <si>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</si>
  <si>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</si>
  <si>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</si>
  <si>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</si>
  <si>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</si>
  <si>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</si>
  <si>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</si>
  <si>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</si>
  <si>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</si>
  <si>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</si>
  <si>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</si>
  <si>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</si>
  <si>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</si>
  <si>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</si>
  <si>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</si>
  <si>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</si>
  <si>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</si>
  <si>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</si>
  <si>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</si>
  <si>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</si>
  <si>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</si>
  <si>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</si>
  <si>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</si>
  <si>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</si>
  <si>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</si>
  <si>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</si>
  <si>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</si>
  <si>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</si>
  <si>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</si>
  <si>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</si>
  <si>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</si>
  <si>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</si>
  <si>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</si>
  <si>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</si>
  <si>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</si>
  <si>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</si>
  <si>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</si>
  <si>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</si>
  <si>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</si>
  <si>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Total revenue from all sources (lines 14, 18, 24, and 31)</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</si>
  <si>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</si>
  <si>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</si>
  <si>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</si>
  <si>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</si>
  <si>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</si>
  <si>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</si>
  <si>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</si>
  <si>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</si>
  <si>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</si>
  <si>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</si>
  <si>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</si>
  <si>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</si>
  <si>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</si>
  <si>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</si>
  <si>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</si>
  <si>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</si>
  <si>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</si>
  <si>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</si>
  <si>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</si>
  <si>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</si>
  <si>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</si>
  <si>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</si>
  <si>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</si>
  <si>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</si>
  <si>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</si>
  <si>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</si>
  <si>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</si>
  <si>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</si>
  <si>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</si>
  <si>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</si>
  <si>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</si>
  <si>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</si>
  <si>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</si>
  <si>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</si>
  <si>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</si>
  <si>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</si>
  <si>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</si>
  <si>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</si>
  <si>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</si>
  <si>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</si>
  <si>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</si>
  <si>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</si>
  <si>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</si>
  <si>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</si>
  <si>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</si>
  <si>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</si>
  <si>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</si>
  <si>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</si>
  <si>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</si>
  <si>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</si>
  <si>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</si>
  <si>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</si>
  <si>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</si>
  <si>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</si>
  <si>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</si>
  <si>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</si>
  <si>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</si>
  <si>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</si>
  <si>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</si>
  <si>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</si>
  <si>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</si>
  <si>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</si>
  <si>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</si>
  <si>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</si>
  <si>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</si>
  <si>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</si>
  <si>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</si>
  <si>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</si>
  <si>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</si>
  <si>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</si>
  <si>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</si>
  <si>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</si>
  <si>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</si>
  <si>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</si>
  <si>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</si>
  <si>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</si>
  <si>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</si>
  <si>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</si>
  <si>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</si>
  <si>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</si>
  <si>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</si>
  <si>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</si>
  <si>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Total revenues (lines 11 and 12)</t>
  </si>
  <si>
    <t>Total available (lines 10 and 13)</t>
  </si>
  <si>
    <r>
      <t>Expenses (</t>
    </r>
    <r>
      <rPr>
        <sz val="10"/>
        <rFont val="Cambria"/>
        <family val="1"/>
      </rPr>
      <t>from lines 6, 7, 8, and 9</t>
    </r>
    <r>
      <rPr>
        <sz val="10"/>
        <rFont val="Times New Roman"/>
        <family val="2"/>
      </rPr>
      <t>)</t>
    </r>
  </si>
  <si>
    <t xml:space="preserve">Ending project balance (line 14 minus line 15) </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</si>
  <si>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</si>
  <si>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</si>
  <si>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</si>
  <si>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</si>
  <si>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</si>
  <si>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</si>
  <si>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</si>
  <si>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</si>
  <si>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</si>
  <si>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Total available (lines 6 and 7)</t>
  </si>
  <si>
    <t>Expenses (line 5 above)</t>
  </si>
  <si>
    <t>Ending project balance  (line 8 minus line 9)</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</si>
  <si>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</si>
  <si>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</si>
  <si>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</si>
  <si>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</si>
  <si>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</si>
  <si>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</si>
  <si>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</si>
  <si>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</si>
  <si>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</si>
  <si>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</si>
  <si>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</si>
  <si>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</si>
  <si>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</si>
  <si>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</si>
  <si>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</si>
  <si>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</si>
  <si>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</si>
  <si>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</si>
  <si>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</si>
  <si>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</si>
  <si>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</si>
  <si>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</si>
  <si>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</si>
  <si>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</si>
  <si>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</si>
  <si>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</si>
  <si>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</si>
  <si>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</si>
  <si>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</si>
  <si>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</si>
  <si>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</si>
  <si>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</si>
  <si>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</si>
  <si>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</si>
  <si>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</si>
  <si>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</si>
  <si>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</si>
  <si>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</si>
  <si>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</si>
  <si>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</si>
  <si>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</si>
  <si>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</si>
  <si>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</si>
  <si>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</si>
  <si>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</si>
  <si>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</si>
  <si>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</si>
  <si>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</si>
  <si>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</si>
  <si>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</si>
  <si>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</si>
  <si>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</si>
  <si>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</si>
  <si>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</si>
  <si>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</si>
  <si>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</si>
  <si>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</si>
  <si>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</si>
  <si>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</si>
  <si>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</si>
  <si>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</si>
  <si>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</si>
  <si>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</si>
  <si>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</si>
  <si>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</si>
  <si>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</si>
  <si>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</si>
  <si>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</si>
  <si>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</si>
  <si>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</si>
  <si>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</si>
  <si>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</si>
  <si>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</si>
  <si>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</si>
  <si>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</si>
  <si>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</si>
  <si>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</si>
  <si>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</si>
  <si>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</si>
  <si>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</si>
  <si>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</si>
  <si>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</si>
  <si>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</si>
  <si>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</si>
  <si>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</si>
  <si>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</si>
  <si>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</si>
  <si>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</si>
  <si>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</si>
  <si>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</si>
  <si>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</si>
  <si>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</si>
  <si>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</si>
  <si>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</si>
  <si>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</si>
  <si>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</si>
  <si>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</si>
  <si>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</si>
  <si>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</si>
  <si>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</si>
  <si>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</si>
  <si>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</si>
  <si>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</si>
  <si>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</si>
  <si>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</si>
  <si>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</si>
  <si>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</si>
  <si>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</si>
  <si>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</si>
  <si>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</si>
  <si>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</si>
  <si>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</si>
  <si>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</si>
  <si>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</si>
  <si>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</si>
  <si>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</si>
  <si>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</si>
  <si>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</si>
  <si>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</si>
  <si>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</si>
  <si>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</si>
  <si>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</si>
  <si>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</si>
  <si>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</si>
  <si>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</si>
  <si>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</si>
  <si>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</si>
  <si>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</si>
  <si>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</si>
  <si>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</si>
  <si>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</si>
  <si>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</si>
  <si>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</si>
  <si>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</si>
  <si>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</si>
  <si>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</si>
  <si>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</si>
  <si>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</si>
  <si>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</si>
  <si>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</si>
  <si>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</si>
  <si>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</si>
  <si>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</si>
  <si>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</si>
  <si>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</si>
  <si>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</si>
  <si>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</si>
  <si>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</si>
  <si>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</si>
  <si>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</si>
  <si>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</si>
  <si>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</si>
  <si>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</si>
  <si>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</si>
  <si>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</si>
  <si>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</si>
  <si>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</si>
  <si>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</si>
  <si>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</si>
  <si>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</si>
  <si>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</si>
  <si>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</si>
  <si>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</si>
  <si>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</si>
  <si>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</si>
  <si>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</si>
  <si>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</si>
  <si>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</si>
  <si>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</si>
  <si>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</si>
  <si>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</si>
  <si>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</si>
  <si>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</si>
  <si>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</si>
  <si>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</si>
  <si>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</si>
  <si>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</si>
  <si>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</si>
  <si>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</si>
  <si>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</si>
  <si>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</si>
  <si>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</si>
  <si>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</si>
  <si>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</si>
  <si>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</si>
  <si>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</si>
  <si>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</si>
  <si>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</si>
  <si>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</si>
  <si>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</si>
  <si>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</si>
  <si>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</si>
  <si>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</si>
  <si>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</si>
  <si>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</si>
  <si>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</si>
  <si>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</si>
  <si>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</si>
  <si>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</si>
  <si>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</si>
  <si>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</si>
  <si>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</si>
  <si>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</si>
  <si>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</si>
  <si>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</si>
  <si>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</si>
  <si>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</si>
  <si>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</si>
  <si>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</si>
  <si>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</si>
  <si>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</si>
  <si>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</si>
  <si>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</si>
  <si>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</si>
  <si>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</si>
  <si>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</si>
  <si>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</si>
  <si>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</si>
  <si>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</si>
  <si>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</si>
  <si>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</si>
  <si>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</si>
  <si>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</si>
  <si>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</si>
  <si>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</si>
  <si>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</si>
  <si>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</si>
  <si>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</si>
  <si>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</si>
  <si>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</si>
  <si>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</si>
  <si>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</si>
  <si>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</si>
  <si>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</si>
  <si>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</si>
  <si>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</si>
  <si>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</si>
  <si>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</si>
  <si>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</si>
  <si>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 xml:space="preserve">     1. 2220 Improvement of instruction</t>
  </si>
  <si>
    <t xml:space="preserve">     2. 2230 Library/media services</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</si>
  <si>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</si>
  <si>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</si>
  <si>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</si>
  <si>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</si>
  <si>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</si>
  <si>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</si>
  <si>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</si>
  <si>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</si>
  <si>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</si>
  <si>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</si>
  <si>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</si>
  <si>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</si>
  <si>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</si>
  <si>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</si>
  <si>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</si>
  <si>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</si>
  <si>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</si>
  <si>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</si>
  <si>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</si>
  <si>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</si>
  <si>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</si>
  <si>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</si>
  <si>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</si>
  <si>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</si>
  <si>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</si>
  <si>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</si>
  <si>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</si>
  <si>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</si>
  <si>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</si>
  <si>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</si>
  <si>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</si>
  <si>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</si>
  <si>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</si>
  <si>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</si>
  <si>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</si>
  <si>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</si>
  <si>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</si>
  <si>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</si>
  <si>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</si>
  <si>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</si>
  <si>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</si>
  <si>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</si>
  <si>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</si>
  <si>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</si>
  <si>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</si>
  <si>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</si>
  <si>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</si>
  <si>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</si>
  <si>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</si>
  <si>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</si>
  <si>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</si>
  <si>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</si>
  <si>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</si>
  <si>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</si>
  <si>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</si>
  <si>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</si>
  <si>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</si>
  <si>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</si>
  <si>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</si>
  <si>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</si>
  <si>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</si>
  <si>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</si>
  <si>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</si>
  <si>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</si>
  <si>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</si>
  <si>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</si>
  <si>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</si>
  <si>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</si>
  <si>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</si>
  <si>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</si>
  <si>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</si>
  <si>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</si>
  <si>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</si>
  <si>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</si>
  <si>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</si>
  <si>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</si>
  <si>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</si>
  <si>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</si>
  <si>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</si>
  <si>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</si>
  <si>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</si>
  <si>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</si>
  <si>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</si>
  <si>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</si>
  <si>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</si>
  <si>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</si>
  <si>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</si>
  <si>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</si>
  <si>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</si>
  <si>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</si>
  <si>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</si>
  <si>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</si>
  <si>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</si>
  <si>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</si>
  <si>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</si>
  <si>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</si>
  <si>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</si>
  <si>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</si>
  <si>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</si>
  <si>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</si>
  <si>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</si>
  <si>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</si>
  <si>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</si>
  <si>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</si>
  <si>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</si>
  <si>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</si>
  <si>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</si>
  <si>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</si>
  <si>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</si>
  <si>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</si>
  <si>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</si>
  <si>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</si>
  <si>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</si>
  <si>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</si>
  <si>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</si>
  <si>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</si>
  <si>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</si>
  <si>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</si>
  <si>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</si>
  <si>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</si>
  <si>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</si>
  <si>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</si>
  <si>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</si>
  <si>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</si>
  <si>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</si>
  <si>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</si>
  <si>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</si>
  <si>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</si>
  <si>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</si>
  <si>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</si>
  <si>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</si>
  <si>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</si>
  <si>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</si>
  <si>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</si>
  <si>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</si>
  <si>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</si>
  <si>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</si>
  <si>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</si>
  <si>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</si>
  <si>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</si>
  <si>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</si>
  <si>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</si>
  <si>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</si>
  <si>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</si>
  <si>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</si>
  <si>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</si>
  <si>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</si>
  <si>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</si>
  <si>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</si>
  <si>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</si>
  <si>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</si>
  <si>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</si>
  <si>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</si>
  <si>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</si>
  <si>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</si>
  <si>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</si>
  <si>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</si>
  <si>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</si>
  <si>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</si>
  <si>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</si>
  <si>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</si>
  <si>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</si>
  <si>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</si>
  <si>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</si>
  <si>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</si>
  <si>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</si>
  <si>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</si>
  <si>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</si>
  <si>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</si>
  <si>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</si>
  <si>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</si>
  <si>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</si>
  <si>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</si>
  <si>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</si>
  <si>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</si>
  <si>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</si>
  <si>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</si>
  <si>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</si>
  <si>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</si>
  <si>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</si>
  <si>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</si>
  <si>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</si>
  <si>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</si>
  <si>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</si>
  <si>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</si>
  <si>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</si>
  <si>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</si>
  <si>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</si>
  <si>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</si>
  <si>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</si>
  <si>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</si>
  <si>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</si>
  <si>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</si>
  <si>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</si>
  <si>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</si>
  <si>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</si>
  <si>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</si>
  <si>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</si>
  <si>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</si>
  <si>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</si>
  <si>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</si>
  <si>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</si>
  <si>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</si>
  <si>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</si>
  <si>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</si>
  <si>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</si>
  <si>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</si>
  <si>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</si>
  <si>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</si>
  <si>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</si>
  <si>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</si>
  <si>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</si>
  <si>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</si>
  <si>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</si>
  <si>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</si>
  <si>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</si>
  <si>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</si>
  <si>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</si>
  <si>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</si>
  <si>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</si>
  <si>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</si>
  <si>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</si>
  <si>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</si>
  <si>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</si>
  <si>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</si>
  <si>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</si>
  <si>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</si>
  <si>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</si>
  <si>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</si>
  <si>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</si>
  <si>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</si>
  <si>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</si>
  <si>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</si>
  <si>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</si>
  <si>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</si>
  <si>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</si>
  <si>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</si>
  <si>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</si>
  <si>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</si>
  <si>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</si>
  <si>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</si>
  <si>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</si>
  <si>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</si>
  <si>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</si>
  <si>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</si>
  <si>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</si>
  <si>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</si>
  <si>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</si>
  <si>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</si>
  <si>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</si>
  <si>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</si>
  <si>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</si>
  <si>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</si>
  <si>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</si>
  <si>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</si>
  <si>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</si>
  <si>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</si>
  <si>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</si>
  <si>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</si>
  <si>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</si>
  <si>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</si>
  <si>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</si>
  <si>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</si>
  <si>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</si>
  <si>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</si>
  <si>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</si>
  <si>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</si>
  <si>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</si>
  <si>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</si>
  <si>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</si>
  <si>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</si>
  <si>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</si>
  <si>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</si>
  <si>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</si>
  <si>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</si>
  <si>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</si>
  <si>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</si>
  <si>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</si>
  <si>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</si>
  <si>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</si>
  <si>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</si>
  <si>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</si>
  <si>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</si>
  <si>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</si>
  <si>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</si>
  <si>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</si>
  <si>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</si>
  <si>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</si>
  <si>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</si>
  <si>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</si>
  <si>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</si>
  <si>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</si>
  <si>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</si>
  <si>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</si>
  <si>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</si>
  <si>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</si>
  <si>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</si>
  <si>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</si>
  <si>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</si>
  <si>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</si>
  <si>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</si>
  <si>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</si>
  <si>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</si>
  <si>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</si>
  <si>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</si>
  <si>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</si>
  <si>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</si>
  <si>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</si>
  <si>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</si>
  <si>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</si>
  <si>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</si>
  <si>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</si>
  <si>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</si>
  <si>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</si>
  <si>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</si>
  <si>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</si>
  <si>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</si>
  <si>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</si>
  <si>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</si>
  <si>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</si>
  <si>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AzEDS AMD-15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</si>
  <si>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</si>
  <si>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</si>
  <si>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Charters must assign expenses for Project 1071—English Language Learner and Project 1072—Compensatory Instruction to the following program codes, as applicable, to automatically populate on page 6: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</si>
  <si>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Report all revenues the Charter received on this page.  </t>
  </si>
  <si>
    <t xml:space="preserve">1600 Food service, line 6 </t>
  </si>
  <si>
    <t>Report all revenues the Charter received from dispensing food to students and adults. If the Charter participates in the National School Lunch Program and completed the Food Service AFR as required, this amount will populate from revenues, line 2 on the Food Service AFR. If the Charter did not collect any revenue from students or adults for food service, enter a 0 value on the line.</t>
  </si>
  <si>
    <t>3200  Restricted,
line 21</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</si>
  <si>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</si>
  <si>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4100, 4300  Unrestricted/restricted received directly from the federal government, 
line 25</t>
  </si>
  <si>
    <t>Do not include federal impact aid revenues received on this line. These revenues should be reported on line 28 as 4800 federal impact aid.</t>
  </si>
  <si>
    <t>4200, 4500  Unrestricted/restricted received from the federal government through the State, line 26</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</si>
  <si>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</si>
  <si>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</si>
  <si>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</si>
  <si>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</si>
  <si>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</si>
  <si>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</si>
  <si>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</si>
  <si>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</si>
  <si>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</si>
  <si>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</si>
  <si>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</si>
  <si>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</si>
  <si>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</si>
  <si>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</si>
  <si>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</si>
  <si>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</si>
  <si>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</si>
  <si>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</si>
  <si>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</si>
  <si>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</si>
  <si>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</si>
  <si>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r>
      <t>Section F</t>
    </r>
    <r>
      <rPr>
        <sz val="10"/>
        <rFont val="Calibri"/>
        <family val="2"/>
      </rPr>
      <t>—</t>
    </r>
    <r>
      <rPr>
        <sz val="10"/>
        <rFont val="Times New Roman"/>
        <family val="2"/>
      </rPr>
      <t>Number of 
full-time equivalent teachers</t>
    </r>
  </si>
  <si>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</si>
  <si>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</si>
  <si>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</si>
  <si>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</si>
  <si>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</si>
  <si>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</si>
  <si>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</si>
  <si>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</si>
  <si>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</si>
  <si>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</si>
  <si>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</si>
  <si>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</si>
  <si>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</si>
  <si>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</si>
  <si>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</si>
  <si>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</si>
  <si>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</si>
  <si>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</si>
  <si>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</si>
  <si>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</si>
  <si>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</si>
  <si>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</si>
  <si>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</si>
  <si>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</si>
  <si>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</si>
  <si>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</si>
  <si>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</si>
  <si>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</si>
  <si>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</si>
  <si>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</si>
  <si>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</si>
  <si>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</si>
  <si>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</si>
  <si>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</si>
  <si>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</si>
  <si>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</si>
  <si>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</si>
  <si>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</si>
  <si>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</si>
  <si>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</si>
  <si>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</si>
  <si>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</si>
  <si>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</si>
  <si>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</si>
  <si>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</si>
  <si>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</si>
  <si>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</si>
  <si>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</si>
  <si>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</si>
  <si>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</si>
  <si>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</si>
  <si>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</si>
  <si>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</si>
  <si>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</si>
  <si>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</si>
  <si>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</si>
  <si>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</si>
  <si>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</si>
  <si>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</si>
  <si>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</si>
  <si>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</si>
  <si>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</si>
  <si>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</si>
  <si>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</si>
  <si>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</si>
  <si>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</si>
  <si>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</si>
  <si>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</si>
  <si>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</si>
  <si>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</si>
  <si>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</si>
  <si>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</si>
  <si>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</si>
  <si>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</si>
  <si>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</si>
  <si>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</si>
  <si>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</si>
  <si>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</si>
  <si>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</si>
  <si>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</si>
  <si>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</si>
  <si>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</si>
  <si>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</si>
  <si>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</si>
  <si>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</si>
  <si>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</si>
  <si>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</si>
  <si>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</si>
  <si>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</si>
  <si>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</si>
  <si>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</si>
  <si>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</si>
  <si>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</si>
  <si>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</si>
  <si>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</si>
  <si>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</si>
  <si>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</si>
  <si>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</si>
  <si>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</si>
  <si>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</si>
  <si>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</si>
  <si>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</si>
  <si>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</si>
  <si>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</si>
  <si>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</si>
  <si>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</si>
  <si>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</si>
  <si>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</si>
  <si>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</si>
  <si>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</si>
  <si>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</si>
  <si>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Copy and paste accounting data into cell A2. For efficiency, this file is set to collect 37,000 rows of data. If you have more than 37,000 rows, please email the Auditor General's Accountability Services Division at asd@azauditor.gov to request a larger capacity file.</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</si>
  <si>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</si>
  <si>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</si>
  <si>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</si>
  <si>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</si>
  <si>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</si>
  <si>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</si>
  <si>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</si>
  <si>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</si>
  <si>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</si>
  <si>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</si>
  <si>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</si>
  <si>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</si>
  <si>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</si>
  <si>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</si>
  <si>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</si>
  <si>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</si>
  <si>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</si>
  <si>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</si>
  <si>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</si>
  <si>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</si>
  <si>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</si>
  <si>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</si>
  <si>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</si>
  <si>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</si>
  <si>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</si>
  <si>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</si>
  <si>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</si>
  <si>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</si>
  <si>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</si>
  <si>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</si>
  <si>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</si>
  <si>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</si>
  <si>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</si>
  <si>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</si>
  <si>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</si>
  <si>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</si>
  <si>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</si>
  <si>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</si>
  <si>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</si>
  <si>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</si>
  <si>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</si>
  <si>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</si>
  <si>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</si>
  <si>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</si>
  <si>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</si>
  <si>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</si>
  <si>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</si>
  <si>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</si>
  <si>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</si>
  <si>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</si>
  <si>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</si>
  <si>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</si>
  <si>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</si>
  <si>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</si>
  <si>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</si>
  <si>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</si>
  <si>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</si>
  <si>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</si>
  <si>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</si>
  <si>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</si>
  <si>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</si>
  <si>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</si>
  <si>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</si>
  <si>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</si>
  <si>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</si>
  <si>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</si>
  <si>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</si>
  <si>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</si>
  <si>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</si>
  <si>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</si>
  <si>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</si>
  <si>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</si>
  <si>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</si>
  <si>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</si>
  <si>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</si>
  <si>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</si>
  <si>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</si>
  <si>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</si>
  <si>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</si>
  <si>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1900-Other Revenues and Gains from Local Sources</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</si>
  <si>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</si>
  <si>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</si>
  <si>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</si>
  <si>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</si>
  <si>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</si>
  <si>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</si>
  <si>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</si>
  <si>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</si>
  <si>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</si>
  <si>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</si>
  <si>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</si>
  <si>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</si>
  <si>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</si>
  <si>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</si>
  <si>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</si>
  <si>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</si>
  <si>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</si>
  <si>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</si>
  <si>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</si>
  <si>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</si>
  <si>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</si>
  <si>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</si>
  <si>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</si>
  <si>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</si>
  <si>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</si>
  <si>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</si>
  <si>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</si>
  <si>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</si>
  <si>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</si>
  <si>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</si>
  <si>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</si>
  <si>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</si>
  <si>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</si>
  <si>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</si>
  <si>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</si>
  <si>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</si>
  <si>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</si>
  <si>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</si>
  <si>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</si>
  <si>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</si>
  <si>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</si>
  <si>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</si>
  <si>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</si>
  <si>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</si>
  <si>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</si>
  <si>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</si>
  <si>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</si>
  <si>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</si>
  <si>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</si>
  <si>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</si>
  <si>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</si>
  <si>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</si>
  <si>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</si>
  <si>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</si>
  <si>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</si>
  <si>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</si>
  <si>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</si>
  <si>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</si>
  <si>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</si>
  <si>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</si>
  <si>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</si>
  <si>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</si>
  <si>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</si>
  <si>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</si>
  <si>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</si>
  <si>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</si>
  <si>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</si>
  <si>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</si>
  <si>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</si>
  <si>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</si>
  <si>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</si>
  <si>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</si>
  <si>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</si>
  <si>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</si>
  <si>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</si>
  <si>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</si>
  <si>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</si>
  <si>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</si>
  <si>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</si>
  <si>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</si>
  <si>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</si>
  <si>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</si>
  <si>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</si>
  <si>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</si>
  <si>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</si>
  <si>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</si>
  <si>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</si>
  <si>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</si>
  <si>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</si>
  <si>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</si>
  <si>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</si>
  <si>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</si>
  <si>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</si>
  <si>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</si>
  <si>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</si>
  <si>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</si>
  <si>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</si>
  <si>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</si>
  <si>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</si>
  <si>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</si>
  <si>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</si>
  <si>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</si>
  <si>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</si>
  <si>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</si>
  <si>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</si>
  <si>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</si>
  <si>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</si>
  <si>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</si>
  <si>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</si>
  <si>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</si>
  <si>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</si>
  <si>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</si>
  <si>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</si>
  <si>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</si>
  <si>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</si>
  <si>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</si>
  <si>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</si>
  <si>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</si>
  <si>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</si>
  <si>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</si>
  <si>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</si>
  <si>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</si>
  <si>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</si>
  <si>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</si>
  <si>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</si>
  <si>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</si>
  <si>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</si>
  <si>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</si>
  <si>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</si>
  <si>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</si>
  <si>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</si>
  <si>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</si>
  <si>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</si>
  <si>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</si>
  <si>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</si>
  <si>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</si>
  <si>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</si>
  <si>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</si>
  <si>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</si>
  <si>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</si>
  <si>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</si>
  <si>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</si>
  <si>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</si>
  <si>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</si>
  <si>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</si>
  <si>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</si>
  <si>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</si>
  <si>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</si>
  <si>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</si>
  <si>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</si>
  <si>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</si>
  <si>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</si>
  <si>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</si>
  <si>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</si>
  <si>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</si>
  <si>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</si>
  <si>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</si>
  <si>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</si>
  <si>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</si>
  <si>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</si>
  <si>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</si>
  <si>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</si>
  <si>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</si>
  <si>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</si>
  <si>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</si>
  <si>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</si>
  <si>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</si>
  <si>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</si>
  <si>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</si>
  <si>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</si>
  <si>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</si>
  <si>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</si>
  <si>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</si>
  <si>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</si>
  <si>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</si>
  <si>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</si>
  <si>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</si>
  <si>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</si>
  <si>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If question 1 was answered yes, complete the table below to describe the Charter's specific FY 2024 targeted and actual project balance reserve amounts and methods used to establish those targeted balance reserve amounts.</t>
  </si>
  <si>
    <t>The Charter plans to take the following actions related to its ending project balance in FY 2025 and thereafter:</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</si>
  <si>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</si>
  <si>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</si>
  <si>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</si>
  <si>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t xml:space="preserve">Targeted FY 2024 project balance reserve amount </t>
  </si>
  <si>
    <t xml:space="preserve">Actual FY 2024 project balance reserve amount </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</si>
  <si>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2023 audit. </t>
  </si>
  <si>
    <t xml:space="preserve">Report amounts the Charter plans to spend to support FY 2025 budgeted spending after using all available FY 2025 revenues. Any nonspendable amounts included in reserve such as current prepaid assets should be included in this line if the Charter plans to use them in FY 2025. Otherwise, such nonspendable assets should be included in the amounts reported on the lines below based on the Charter's plan to use them to benefit a future year, as applicable. </t>
  </si>
  <si>
    <t>Section A
Lines 3.c, through h</t>
  </si>
  <si>
    <t xml:space="preserve">Report accumulated reserve amounts that will not be used to finance current budget year expenses and their intended future purposes on lines 3.c through h. Amounts needed to support current-year (FY 2025) expenditures should have been reported on lines 3.b. See specific instructions for line 3. c through f below. If a specific purpose has not been listed, use lines 3. g and h and indicate the purpose. </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</si>
  <si>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</si>
  <si>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</si>
  <si>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 xml:space="preserve">      Total Local Revenue (lines 1-13)</t>
  </si>
  <si>
    <t>Page 6, section H, average teacher salary table is not complete. The average salary of all teachers employed in FY 2024 must be recorded on page 6, section H, line 1. New charters must still report an amount on line 1. If a charter was new and began operations in FY 2024, please indicate so by checking the box in K28.</t>
  </si>
  <si>
    <t>Federal and State projects, line 33</t>
  </si>
  <si>
    <r>
      <t xml:space="preserve">The total of budget and actual federal and State project expenses (project codes 1100 through 1499 on page 9) should be included on line 38.  The total of budgeted and actual expenses on line 38 should agree with the total of federal and State project expenses on line </t>
    </r>
    <r>
      <rPr>
        <sz val="10"/>
        <color rgb="FFFF0000"/>
        <rFont val="Times New Roman"/>
        <family val="1"/>
      </rPr>
      <t>33</t>
    </r>
    <r>
      <rPr>
        <sz val="10"/>
        <rFont val="Times New Roman"/>
        <family val="2"/>
      </rPr>
      <t xml:space="preserve"> of page 8.</t>
    </r>
  </si>
  <si>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</si>
  <si>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</si>
  <si>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</si>
  <si>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</si>
  <si>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</si>
  <si>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</si>
  <si>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</si>
  <si>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</si>
  <si>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</si>
  <si>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</si>
  <si>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FY 2024</t>
  </si>
  <si>
    <t>We, the Governing Board of the Charter School, hereby certify the Annual Financial Report and School Level Reporting form per A.R.S. §§15-183(E)(6) and 15-904 for Fiscal Year 2024.</t>
  </si>
  <si>
    <t xml:space="preserve">The annual financial report file(s) for FY 2024 uploaded to the Arizona Department of </t>
  </si>
  <si>
    <t xml:space="preserve">      Total Intermediate Revenue (lines 15-17)</t>
  </si>
  <si>
    <t xml:space="preserve">      Total State Revenue (lines 19-23)</t>
  </si>
  <si>
    <t xml:space="preserve">      Total Federal Revenue (lines 25-30)</t>
  </si>
  <si>
    <t>Classroom Site Project (from page 3, lines 6 and 8)</t>
  </si>
  <si>
    <t>Federal and State Projects (from page 8, line 33)</t>
  </si>
  <si>
    <t>July 1, 2023</t>
  </si>
  <si>
    <t>June 30, 2024</t>
  </si>
  <si>
    <t>Investment in capital assets as of June 30, 2024</t>
  </si>
  <si>
    <t>Check box if the Charter was new and began operations in FY 2024.</t>
  </si>
  <si>
    <t>Average salary of all teachers employed in FY 2024</t>
  </si>
  <si>
    <t>Average salary of all teachers employed in FY 2023</t>
  </si>
  <si>
    <t>Increase in average teacher salary from FY 2023</t>
  </si>
  <si>
    <t>Cash and investments held at June 30, 2024</t>
  </si>
  <si>
    <t xml:space="preserve">     1. Long-term debt outstanding, July 1, 2023</t>
  </si>
  <si>
    <t xml:space="preserve">     2. Long-term debt issued during FY 2024</t>
  </si>
  <si>
    <t xml:space="preserve">     3. Long-term debt retired during FY 2024</t>
  </si>
  <si>
    <t xml:space="preserve">     4. Long-term debt outstanding, June 30, 2024</t>
  </si>
  <si>
    <t xml:space="preserve">     5. Short-term debt outstanding, July 1, 2023</t>
  </si>
  <si>
    <t xml:space="preserve">     6. Short-term debt outstanding, June 30, 2024</t>
  </si>
  <si>
    <t>Total FY 2024 expenses + indirect costs, debt service, and property disbursements</t>
  </si>
  <si>
    <t>FY 2020 through 
FY 2023
Expenses and other financing uses</t>
  </si>
  <si>
    <t>FY 2024
Expenses and other financing uses</t>
  </si>
  <si>
    <t>2023</t>
  </si>
  <si>
    <t>2024</t>
  </si>
  <si>
    <t>The total reserve balance for FY 2024 is:</t>
  </si>
  <si>
    <t>FY 2023 ending project balance</t>
  </si>
  <si>
    <t>FY 2024 ending project balance</t>
  </si>
  <si>
    <t>Planned to be spent in FY 2025 to support budgeted spending</t>
  </si>
  <si>
    <r>
      <t xml:space="preserve">Maintained for debt retirement </t>
    </r>
    <r>
      <rPr>
        <u/>
        <sz val="10"/>
        <rFont val="Times New Roman"/>
        <family val="1"/>
      </rPr>
      <t>after</t>
    </r>
    <r>
      <rPr>
        <sz val="10"/>
        <rFont val="Times New Roman"/>
        <family val="2"/>
      </rPr>
      <t xml:space="preserve"> FY 2025</t>
    </r>
  </si>
  <si>
    <r>
      <t xml:space="preserve">Maintained for capital projects </t>
    </r>
    <r>
      <rPr>
        <u/>
        <sz val="10"/>
        <rFont val="Times New Roman"/>
        <family val="1"/>
      </rPr>
      <t>after</t>
    </r>
    <r>
      <rPr>
        <sz val="10"/>
        <rFont val="Times New Roman"/>
        <family val="2"/>
      </rPr>
      <t xml:space="preserve"> FY 2025</t>
    </r>
  </si>
  <si>
    <r>
      <t xml:space="preserve">Maintained for retirement contributions </t>
    </r>
    <r>
      <rPr>
        <u/>
        <sz val="10"/>
        <rFont val="Times New Roman"/>
        <family val="1"/>
      </rPr>
      <t>after</t>
    </r>
    <r>
      <rPr>
        <sz val="10"/>
        <rFont val="Times New Roman"/>
        <family val="2"/>
      </rPr>
      <t xml:space="preserve"> FY 2025</t>
    </r>
  </si>
  <si>
    <t>FY 2024 ending project balance details:</t>
  </si>
  <si>
    <t xml:space="preserve">Section A presents the prior year's and current year's ending balances for all projects and provides space for charters to report FY 2024 ending balance details that identify how charters plan to use those monies in future years. </t>
  </si>
  <si>
    <r>
      <t xml:space="preserve">All actual revenues, expenses, and account balances presented on the AFR must agree with the Charter's accounting records as of June 30, 2024. Revenue and expense account codes used in the AFR agree with the </t>
    </r>
    <r>
      <rPr>
        <i/>
        <sz val="10"/>
        <rFont val="Times New Roman"/>
        <family val="1"/>
      </rPr>
      <t>Uniform System of Financial Records for Arizona Charter Schools</t>
    </r>
    <r>
      <rPr>
        <sz val="10"/>
        <rFont val="Times New Roman"/>
        <family val="2"/>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2024 budget that was submitted to ADE.           
Revenues must include cash receipts through June 30, 2024, and accrued revenues received after the end of the fiscal year. Examples of accrued revenues are cost reimbursement and entitlement programs, interest earned on investments, and FY 2024 Classroom Site Project revenues.         
Expenses consist of all expenses incurred during the fiscal year, including expenses for goods and services received on or before June 30, 2024, but not paid for by that date. Examples of items requiring such treatment are included in the USFRCS, pages VI-G-8 and 9.</t>
    </r>
  </si>
  <si>
    <r>
      <t>Record amounts expended in FY 202</t>
    </r>
    <r>
      <rPr>
        <sz val="10"/>
        <rFont val="Times New Roman"/>
        <family val="2"/>
      </rPr>
      <t>4</t>
    </r>
    <r>
      <rPr>
        <sz val="10"/>
        <rFont val="Times New Roman"/>
        <family val="2"/>
      </rPr>
      <t xml:space="preserve"> for audit services. 
Nonfederal audit expense incurred in FY 202</t>
    </r>
    <r>
      <rPr>
        <sz val="10"/>
        <rFont val="Times New Roman"/>
        <family val="2"/>
      </rPr>
      <t>4</t>
    </r>
    <r>
      <rPr>
        <sz val="10"/>
        <rFont val="Times New Roman"/>
        <family val="2"/>
      </rPr>
      <t xml:space="preserve"> may be included on the budget for FY 202</t>
    </r>
    <r>
      <rPr>
        <sz val="10"/>
        <rFont val="Times New Roman"/>
        <family val="2"/>
      </rPr>
      <t>6</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2"/>
      </rPr>
      <t>6</t>
    </r>
    <r>
      <rPr>
        <sz val="10"/>
        <rFont val="Times New Roman"/>
        <family val="2"/>
      </rPr>
      <t>, nonfederal audit expenses must be included in the FY 202</t>
    </r>
    <r>
      <rPr>
        <sz val="10"/>
        <rFont val="Times New Roman"/>
        <family val="2"/>
      </rPr>
      <t>4</t>
    </r>
    <r>
      <rPr>
        <sz val="10"/>
        <rFont val="Times New Roman"/>
        <family val="2"/>
      </rPr>
      <t xml:space="preserve"> AFR.  Amounts reported must be amounts actually spent in FY 202</t>
    </r>
    <r>
      <rPr>
        <sz val="10"/>
        <rFont val="Times New Roman"/>
        <family val="2"/>
      </rPr>
      <t>4</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</si>
  <si>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Enter the total increase in capital assets, by asset classification, recorded in the general ledger and on the capital assets list for the year ended June 30, 2024.  These amounts represent only the assets acquired during the year costing $5,000 or more and, for equipment, having useful lives of 1 year or more. The amount should include assets that were purchased or financed.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</si>
  <si>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 xml:space="preserve">Enter the total increase in construction in progress for the year ended June 30, 2024.  This amount is not recorded on the capital assets list until the project is completed.  Therefore, it will not appear on the capital assets list as of June 30, 2024.
</t>
  </si>
  <si>
    <t>Enter the total cost, by asset classification, recorded in the general ledger and on the capital assets list as of June 30, 2024, for items costing $5,000 or more and, for equipment, having useful lives of 1 year or more.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2024.</t>
  </si>
  <si>
    <t>Enter the total cost of construction in progress as of June 30, 2024.  This amount is not recorded on the capital assets list as of June 30, 2024.</t>
  </si>
  <si>
    <t>Enter the average teacher salary of all teachers employed in FY 2024.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2023 pulls correctly from the prior year AFR.</t>
  </si>
  <si>
    <t xml:space="preserve">Enter all known awards to date, awarded both before and after June 30, 2024.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</si>
  <si>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2023
Expenses and Other Financing Uses</t>
  </si>
  <si>
    <t xml:space="preserve">Enter the total FY 2020 through 2023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</si>
  <si>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2024 Expenses and Other Financing Uses</t>
  </si>
  <si>
    <t>Enter the total expenses, including property disbursements and debt service payments, and indirect costs transfers-out made for FY 2024 from each COVID project/program listed. If the amount is zero, enter 0. If the specific project/program is not listed, report on line 6, Other COVID-19 federal relief projects.
Total expenses on line 7 should agree to the amount displayed in cell H43.</t>
  </si>
  <si>
    <t xml:space="preserve">Obtain total Attending ADM for FY 2023 and FY 2024 from ADE’s ADM30 reports, available on ADE’s website.  </t>
  </si>
  <si>
    <t xml:space="preserve">The beginning balance for each project, at July 1, 2023, automatically pull from the projects' ending balance reported on the FY 2023 AFR. </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</si>
  <si>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afr24-food service.xlsx file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</si>
  <si>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If an ending project balance is reported incorrectly on the FY 2023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</si>
  <si>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r>
      <t>This line pulls in current year ending balances from the Summar</t>
    </r>
    <r>
      <rPr>
        <sz val="10"/>
        <rFont val="Times New Roman"/>
        <family val="1"/>
      </rPr>
      <t>y tab for all projects.</t>
    </r>
  </si>
  <si>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by identifying activity as 1470-1499-Other State Projects in the accounting data tab.
  </t>
  </si>
  <si>
    <t>Laws 2023, Chapter 142, §2 repealed A.R.S. §15-249.08, which had established Project 1457—Results-based Funding and required separate reporting of the Project's activities in the AFR.</t>
  </si>
  <si>
    <t>If an ending project balance is reported incorrectly on the FY 2023 AFR, charters should enter the correct amount in the adjusted beginning project balance column, lines 17 through 23.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</si>
  <si>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t>Does the Charter have a process or policy it follows to establish a targeted (goal) project balance reserve level that the Charter is working to maintain each year? (Yes or No in cell F26) If the Charter has an adopted policy, enter the policy number in the box provided (cell G26).</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</si>
  <si>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</si>
  <si>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If the Charter answered question B.1 "Yes," complete this table to describe the Charter's specific FY 2024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</si>
  <si>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Policy number (N/A if no adopted policy exists):</t>
  </si>
  <si>
    <t>Arizona charter schools may operate in a variety of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</si>
  <si>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Project balance reserves tab</t>
  </si>
  <si>
    <t>N/A</t>
  </si>
  <si>
    <t>Income</t>
  </si>
  <si>
    <t xml:space="preserve">   1000 Revenue from local sources</t>
  </si>
  <si>
    <t xml:space="preserve">      1510 Interest</t>
  </si>
  <si>
    <t xml:space="preserve">      1900 Miscellaneous</t>
  </si>
  <si>
    <t xml:space="preserve">      1910 Rentals</t>
  </si>
  <si>
    <t xml:space="preserve">   Total 1000 Revenue from local sources</t>
  </si>
  <si>
    <t xml:space="preserve">   3000 Revenue from State Sources</t>
  </si>
  <si>
    <t xml:space="preserve">      3110 State Equalization</t>
  </si>
  <si>
    <t xml:space="preserve">      3115 Prop 123</t>
  </si>
  <si>
    <t xml:space="preserve">      3200 Instructional Improvement</t>
  </si>
  <si>
    <t xml:space="preserve">      3200.1 Prop 301</t>
  </si>
  <si>
    <t xml:space="preserve">   Total 3000 Revenue from State Sources</t>
  </si>
  <si>
    <t xml:space="preserve">   4000 Rev from Federal Sources</t>
  </si>
  <si>
    <t xml:space="preserve">      1312 ESSER III</t>
  </si>
  <si>
    <t xml:space="preserve">      4500 IDEA Basic</t>
  </si>
  <si>
    <t xml:space="preserve">      4500 Title I</t>
  </si>
  <si>
    <t xml:space="preserve">      4910 E-Rate</t>
  </si>
  <si>
    <t xml:space="preserve">   Total 4000 Rev from Federal Sources</t>
  </si>
  <si>
    <t>Total Income</t>
  </si>
  <si>
    <t>Gross Profit</t>
  </si>
  <si>
    <t xml:space="preserve">   1000 Instruction</t>
  </si>
  <si>
    <t xml:space="preserve">      6111 Administrators</t>
  </si>
  <si>
    <t xml:space="preserve">      6112 Certified Teachers</t>
  </si>
  <si>
    <t xml:space="preserve">      6114 Aid/Tutor</t>
  </si>
  <si>
    <t xml:space="preserve">      6221 Social Security</t>
  </si>
  <si>
    <t xml:space="preserve">      6222 Medicare</t>
  </si>
  <si>
    <t xml:space="preserve">      6230 Retirement</t>
  </si>
  <si>
    <t xml:space="preserve">      6250 Unemployment Insurance</t>
  </si>
  <si>
    <t xml:space="preserve">      6328 Special Ed Services</t>
  </si>
  <si>
    <t xml:space="preserve">      6330 Other Professional Service</t>
  </si>
  <si>
    <t xml:space="preserve">      6610 Classroom Supplies</t>
  </si>
  <si>
    <t xml:space="preserve">      6643 Instructional Aids</t>
  </si>
  <si>
    <t xml:space="preserve">      6650 Technology Related Supply</t>
  </si>
  <si>
    <t xml:space="preserve">      6810 Dues &amp; Fees</t>
  </si>
  <si>
    <t xml:space="preserve">   Total 1000 Instruction</t>
  </si>
  <si>
    <t xml:space="preserve">   2100 Student Support Svcs</t>
  </si>
  <si>
    <t xml:space="preserve">      6111Administrators</t>
  </si>
  <si>
    <t xml:space="preserve">      6162 Social Worker</t>
  </si>
  <si>
    <t xml:space="preserve">      6610 General Supplies</t>
  </si>
  <si>
    <t xml:space="preserve">      6626 Gasoline/Diesel</t>
  </si>
  <si>
    <t xml:space="preserve">   Total 2100 Student Support Svcs</t>
  </si>
  <si>
    <t xml:space="preserve">   2200 Instructional Support Svcs</t>
  </si>
  <si>
    <t xml:space="preserve">      6151 Administrators</t>
  </si>
  <si>
    <t xml:space="preserve">   Total 2200 Instructional Support Svcs</t>
  </si>
  <si>
    <t xml:space="preserve">   2213 Instr. Staff Training</t>
  </si>
  <si>
    <t xml:space="preserve">   2400 School Admin Support Svcs</t>
  </si>
  <si>
    <t xml:space="preserve">      6530 Communications</t>
  </si>
  <si>
    <t xml:space="preserve">      6533 Postage/Shipping</t>
  </si>
  <si>
    <t xml:space="preserve">      6540 Advertising</t>
  </si>
  <si>
    <t xml:space="preserve">      6626 Gas</t>
  </si>
  <si>
    <t xml:space="preserve">      6632 Other Food</t>
  </si>
  <si>
    <t xml:space="preserve">   Total 2400 School Admin Support Svcs</t>
  </si>
  <si>
    <t xml:space="preserve">   2500 Business Support Svcs</t>
  </si>
  <si>
    <t xml:space="preserve">      6342 Financial Consultant</t>
  </si>
  <si>
    <t xml:space="preserve">      6343 Payroll Service</t>
  </si>
  <si>
    <t xml:space="preserve">      6350 Audit Services</t>
  </si>
  <si>
    <t xml:space="preserve">      6890 Miscellaneous Expenses</t>
  </si>
  <si>
    <t xml:space="preserve">      6910 Indirect Costs</t>
  </si>
  <si>
    <t xml:space="preserve">   Total 2500 Business Support Svcs</t>
  </si>
  <si>
    <t xml:space="preserve">   2600 Oper and Maint Plant Svc</t>
  </si>
  <si>
    <t xml:space="preserve">      6157 Custodian</t>
  </si>
  <si>
    <t xml:space="preserve">      6411 Water</t>
  </si>
  <si>
    <t xml:space="preserve">      6421 Disposal Services</t>
  </si>
  <si>
    <t xml:space="preserve">      6428 Fire System Inspection</t>
  </si>
  <si>
    <t xml:space="preserve">      6430 Repair/Maintenance Service</t>
  </si>
  <si>
    <t xml:space="preserve">      6435 Repair &amp; Maint Building</t>
  </si>
  <si>
    <t xml:space="preserve">      6520 Prop/Liability Insurance</t>
  </si>
  <si>
    <t xml:space="preserve">      6610 Cust/Maint Supplies</t>
  </si>
  <si>
    <t xml:space="preserve">      6614 Maintenance Supplies</t>
  </si>
  <si>
    <t xml:space="preserve">      6621 Natural Gas</t>
  </si>
  <si>
    <t xml:space="preserve">      6622 Electricity</t>
  </si>
  <si>
    <t xml:space="preserve">   Total 2600 Oper and Maint Plant Svc</t>
  </si>
  <si>
    <t xml:space="preserve">   2700 Student Transportation Svc</t>
  </si>
  <si>
    <t xml:space="preserve">      6437 Repair &amp; Maint on Vehicles</t>
  </si>
  <si>
    <t xml:space="preserve">      6510 Student Transportation</t>
  </si>
  <si>
    <t xml:space="preserve">   Total 2700 Student Transportation Svc</t>
  </si>
  <si>
    <t xml:space="preserve">   4000 Fac Acquisition/Construct.</t>
  </si>
  <si>
    <t xml:space="preserve">      6400 Facilities</t>
  </si>
  <si>
    <t xml:space="preserve">      6610 Supplies</t>
  </si>
  <si>
    <t xml:space="preserve">   Total 4000 Fac Acquisition/Construct.</t>
  </si>
  <si>
    <t xml:space="preserve">   Depreciation Expense</t>
  </si>
  <si>
    <t>Total Expenses</t>
  </si>
  <si>
    <t>Net Operating Income</t>
  </si>
  <si>
    <t>Net Income</t>
  </si>
  <si>
    <t>AIBT Non-Profit Charter High School</t>
  </si>
  <si>
    <t>Peoria Prep</t>
  </si>
  <si>
    <t>Maricopa</t>
  </si>
  <si>
    <t>078286000</t>
  </si>
  <si>
    <t>Steve Durand</t>
  </si>
  <si>
    <t>jsawner@edopfoundation.org</t>
  </si>
  <si>
    <t>Jeff Sawner</t>
  </si>
  <si>
    <t>X</t>
  </si>
  <si>
    <t>sdurand2@educationaloptionsfoundation.org</t>
  </si>
  <si>
    <t>E-rate</t>
  </si>
  <si>
    <t>The Charter plans to use all ending project balances in FY 2025 and thereafter to maintain operations and provide a growing financial reserve to ensure continued operations of the Charter for years to 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</si>
</sst>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 numFmtId="174" formatCode="#,##0.00\ _€"/>
    <numFmt numFmtId="175" formatCode="&quot;$&quot;* #,##0.00\ _€"/>
  </numFmts>
  <fonts count="66" x14ac:knownFonts="1">
    <font>
      <sz val="10"/>
      <name val="Times New Roman"/>
      <family val="2"/>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b/>
      <sz val="9"/>
      <color indexed="12"/>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b/>
      <sz val="11"/>
      <color rgb="FFFF0000"/>
      <name val="Times New Roman"/>
      <family val="1"/>
    </font>
    <font>
      <u/>
      <sz val="10"/>
      <name val="Times New Roman"/>
      <family val="1"/>
    </font>
    <font>
      <u/>
      <sz val="10"/>
      <color indexed="12"/>
      <name val="Times New Roman"/>
      <family val="1"/>
    </font>
    <font>
      <sz val="10"/>
      <name val="Times New Roman"/>
      <family val="2"/>
    </font>
    <font>
      <sz val="10"/>
      <name val="Times New Roman"/>
      <family val="1"/>
    </font>
    <font>
      <b/>
      <sz val="8"/>
      <color indexed="8"/>
      <name val="Arial"/>
      <family val="2"/>
    </font>
    <font>
      <sz val="8"/>
      <color indexed="8"/>
      <name val="Arial"/>
      <family val="2"/>
    </font>
  </fonts>
  <fills count="19">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DDEBF7"/>
        <bgColor indexed="64"/>
      </patternFill>
    </fill>
    <fill>
      <patternFill patternType="solid">
        <fgColor theme="6" tint="0.59987182226020086"/>
        <bgColor indexed="64"/>
      </patternFill>
    </fill>
    <fill>
      <patternFill patternType="solid">
        <fgColor rgb="FFFF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s>
  <cellStyleXfs count="17">
    <xf numFmtId="0" fontId="0" fillId="0" borderId="0"/>
    <xf numFmtId="9" fontId="62"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protection locked="0"/>
    </xf>
    <xf numFmtId="0" fontId="2" fillId="0" borderId="0"/>
    <xf numFmtId="0" fontId="13" fillId="0" borderId="0" applyFont="0" applyBorder="0"/>
    <xf numFmtId="0" fontId="1" fillId="0" borderId="0"/>
    <xf numFmtId="0" fontId="1" fillId="0" borderId="0"/>
    <xf numFmtId="0" fontId="2" fillId="0" borderId="0"/>
    <xf numFmtId="0" fontId="45" fillId="0" borderId="0" applyNumberFormat="0" applyFill="0" applyBorder="0">
      <protection locked="0"/>
    </xf>
    <xf numFmtId="0" fontId="62" fillId="0" borderId="0"/>
    <xf numFmtId="0" fontId="6" fillId="0" borderId="0" applyNumberFormat="0" applyFill="0" applyBorder="0">
      <protection locked="0"/>
    </xf>
    <xf numFmtId="0" fontId="6" fillId="0" borderId="0" applyNumberFormat="0" applyFill="0" applyBorder="0" applyAlignment="0" applyProtection="0">
      <alignment vertical="top"/>
      <protection locked="0"/>
    </xf>
    <xf numFmtId="0" fontId="63" fillId="0" borderId="0"/>
  </cellStyleXfs>
  <cellXfs count="893">
    <xf numFmtId="0" fontId="0" fillId="0" borderId="0" xfId="0"/>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6" fillId="0" borderId="1" xfId="7" applyFont="1" applyBorder="1" applyProtection="1">
      <protection locked="0"/>
    </xf>
    <xf numFmtId="49" fontId="36" fillId="0" borderId="1" xfId="7" applyNumberFormat="1" applyFont="1" applyBorder="1" applyProtection="1">
      <protection locked="0"/>
    </xf>
    <xf numFmtId="169" fontId="36" fillId="0" borderId="1" xfId="7" applyNumberFormat="1" applyFont="1" applyBorder="1" applyProtection="1">
      <protection locked="0"/>
    </xf>
    <xf numFmtId="0" fontId="36" fillId="0" borderId="1" xfId="7" applyFont="1" applyBorder="1" applyAlignment="1" applyProtection="1">
      <alignment horizontal="right"/>
      <protection locked="0"/>
    </xf>
    <xf numFmtId="0" fontId="36" fillId="0" borderId="1" xfId="7" applyFont="1" applyBorder="1" applyAlignment="1" applyProtection="1">
      <alignment wrapText="1"/>
      <protection locked="0"/>
    </xf>
    <xf numFmtId="0" fontId="38" fillId="2" borderId="1" xfId="7" applyFont="1" applyFill="1" applyBorder="1" applyAlignment="1" applyProtection="1">
      <alignment horizontal="center"/>
      <protection locked="0"/>
    </xf>
    <xf numFmtId="0" fontId="2" fillId="0" borderId="0" xfId="7" applyProtection="1">
      <protection locked="0"/>
    </xf>
    <xf numFmtId="0" fontId="2" fillId="0" borderId="0" xfId="7" applyAlignment="1" applyProtection="1">
      <alignment horizontal="left" vertical="top"/>
      <protection locked="0"/>
    </xf>
    <xf numFmtId="0" fontId="2" fillId="0" borderId="0" xfId="7" applyAlignment="1" applyProtection="1">
      <alignment horizontal="left" vertical="top" wrapText="1"/>
      <protection locked="0"/>
    </xf>
    <xf numFmtId="0" fontId="2" fillId="0" borderId="0" xfId="7"/>
    <xf numFmtId="0" fontId="2" fillId="3" borderId="2" xfId="7" applyFill="1" applyBorder="1" applyAlignment="1" applyProtection="1">
      <alignment horizontal="left" vertical="top"/>
      <protection locked="0"/>
    </xf>
    <xf numFmtId="0" fontId="2" fillId="0" borderId="0" xfId="7" applyAlignment="1" applyProtection="1">
      <alignment horizontal="left" indent="1"/>
      <protection locked="0"/>
    </xf>
    <xf numFmtId="0" fontId="36" fillId="0" borderId="0" xfId="7" applyFont="1" applyAlignment="1" applyProtection="1">
      <alignment horizontal="left" vertical="top"/>
      <protection locked="0"/>
    </xf>
    <xf numFmtId="40" fontId="38" fillId="2" borderId="1" xfId="7" applyNumberFormat="1" applyFont="1" applyFill="1" applyBorder="1" applyAlignment="1" applyProtection="1">
      <alignment horizontal="center"/>
      <protection locked="0"/>
    </xf>
    <xf numFmtId="40" fontId="2" fillId="0" borderId="0" xfId="7" applyNumberFormat="1" applyAlignment="1" applyProtection="1">
      <alignment horizontal="left" vertical="top"/>
      <protection locked="0"/>
    </xf>
    <xf numFmtId="40" fontId="2" fillId="0" borderId="0" xfId="7" applyNumberFormat="1" applyProtection="1">
      <protection locked="0"/>
    </xf>
    <xf numFmtId="0" fontId="38" fillId="2" borderId="2" xfId="7" applyFont="1" applyFill="1" applyBorder="1" applyAlignment="1" applyProtection="1">
      <alignment horizontal="center"/>
      <protection locked="0"/>
    </xf>
    <xf numFmtId="0" fontId="2" fillId="3" borderId="0" xfId="7" applyFill="1" applyProtection="1">
      <protection locked="0"/>
    </xf>
    <xf numFmtId="0" fontId="2" fillId="3" borderId="0" xfId="7" applyFill="1" applyAlignment="1" applyProtection="1">
      <alignment horizontal="left" vertical="top"/>
      <protection locked="0"/>
    </xf>
    <xf numFmtId="0" fontId="2" fillId="3" borderId="0" xfId="7" applyFill="1" applyAlignment="1" applyProtection="1">
      <alignment horizontal="left"/>
      <protection locked="0"/>
    </xf>
    <xf numFmtId="0" fontId="44"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4" fillId="4" borderId="6" xfId="0" applyFont="1" applyFill="1" applyBorder="1" applyProtection="1">
      <protection locked="0"/>
    </xf>
    <xf numFmtId="168" fontId="52" fillId="0" borderId="7" xfId="12" applyNumberFormat="1" applyFont="1" applyFill="1" applyBorder="1" applyProtection="1"/>
    <xf numFmtId="37" fontId="28" fillId="0" borderId="1" xfId="10" applyNumberFormat="1" applyFont="1" applyBorder="1" applyAlignment="1" applyProtection="1">
      <alignment horizontal="right" vertical="center"/>
      <protection locked="0"/>
    </xf>
    <xf numFmtId="168" fontId="3" fillId="0" borderId="1" xfId="12" applyNumberFormat="1" applyFont="1" applyFill="1" applyBorder="1" applyAlignment="1" applyProtection="1">
      <alignment horizontal="center" wrapText="1"/>
    </xf>
    <xf numFmtId="37" fontId="28" fillId="0" borderId="1" xfId="4" applyNumberFormat="1" applyFont="1" applyFill="1" applyBorder="1" applyProtection="1">
      <protection locked="0"/>
    </xf>
    <xf numFmtId="37" fontId="28" fillId="5" borderId="1" xfId="10" quotePrefix="1" applyNumberFormat="1" applyFont="1" applyFill="1" applyBorder="1" applyProtection="1">
      <protection locked="0"/>
    </xf>
    <xf numFmtId="37" fontId="28" fillId="0" borderId="1" xfId="4" applyNumberFormat="1" applyFont="1" applyFill="1" applyBorder="1" applyAlignment="1" applyProtection="1">
      <alignment wrapText="1"/>
    </xf>
    <xf numFmtId="37" fontId="28" fillId="0" borderId="8" xfId="4" applyNumberFormat="1" applyFont="1" applyFill="1" applyBorder="1" applyProtection="1">
      <protection locked="0"/>
    </xf>
    <xf numFmtId="37" fontId="28" fillId="0" borderId="0" xfId="4" applyNumberFormat="1" applyFont="1" applyFill="1" applyBorder="1" applyProtection="1"/>
    <xf numFmtId="0" fontId="14" fillId="0" borderId="0" xfId="12" applyFont="1" applyFill="1" applyBorder="1" applyProtection="1"/>
    <xf numFmtId="0" fontId="31" fillId="0" borderId="0" xfId="12" applyFont="1" applyFill="1" applyBorder="1" applyProtection="1"/>
    <xf numFmtId="165" fontId="28" fillId="0" borderId="0" xfId="12" applyNumberFormat="1" applyFont="1" applyFill="1" applyBorder="1" applyAlignment="1" applyProtection="1">
      <alignment vertical="center" wrapText="1"/>
    </xf>
    <xf numFmtId="165" fontId="32" fillId="0" borderId="0" xfId="12" applyNumberFormat="1" applyFont="1" applyFill="1" applyBorder="1" applyAlignment="1" applyProtection="1">
      <alignment horizontal="center" vertical="center" wrapText="1"/>
    </xf>
    <xf numFmtId="168" fontId="10" fillId="6" borderId="9" xfId="12" applyNumberFormat="1" applyFont="1" applyFill="1" applyBorder="1" applyAlignment="1" applyProtection="1">
      <alignment horizontal="left"/>
    </xf>
    <xf numFmtId="165" fontId="28" fillId="6" borderId="4" xfId="12" applyNumberFormat="1" applyFont="1" applyFill="1" applyBorder="1" applyAlignment="1" applyProtection="1">
      <alignment horizontal="left"/>
    </xf>
    <xf numFmtId="37" fontId="28" fillId="0" borderId="1" xfId="10" applyNumberFormat="1" applyFont="1" applyBorder="1" applyProtection="1">
      <protection locked="0"/>
    </xf>
    <xf numFmtId="168" fontId="10" fillId="6" borderId="4" xfId="12" applyNumberFormat="1" applyFont="1" applyFill="1" applyBorder="1" applyAlignment="1" applyProtection="1">
      <alignment horizontal="left"/>
    </xf>
    <xf numFmtId="37" fontId="51" fillId="0" borderId="1" xfId="4" applyNumberFormat="1" applyFont="1" applyFill="1" applyBorder="1" applyAlignment="1" applyProtection="1">
      <alignment horizontal="right"/>
    </xf>
    <xf numFmtId="0" fontId="40" fillId="0" borderId="0" xfId="0" applyFont="1"/>
    <xf numFmtId="37" fontId="48" fillId="4" borderId="1" xfId="0" applyNumberFormat="1" applyFont="1" applyFill="1" applyBorder="1" applyProtection="1">
      <protection locked="0"/>
    </xf>
    <xf numFmtId="37" fontId="48" fillId="4" borderId="5" xfId="0" applyNumberFormat="1" applyFont="1" applyFill="1" applyBorder="1" applyProtection="1">
      <protection locked="0"/>
    </xf>
    <xf numFmtId="37" fontId="48" fillId="0" borderId="1" xfId="0" applyNumberFormat="1" applyFont="1" applyBorder="1" applyProtection="1">
      <protection locked="0"/>
    </xf>
    <xf numFmtId="37" fontId="48" fillId="4" borderId="10" xfId="0" applyNumberFormat="1" applyFont="1" applyFill="1" applyBorder="1" applyProtection="1">
      <protection locked="0"/>
    </xf>
    <xf numFmtId="37" fontId="48" fillId="4" borderId="11" xfId="0" applyNumberFormat="1" applyFont="1" applyFill="1" applyBorder="1" applyProtection="1">
      <protection locked="0"/>
    </xf>
    <xf numFmtId="37" fontId="48" fillId="0" borderId="11" xfId="0" applyNumberFormat="1" applyFont="1" applyBorder="1" applyProtection="1">
      <protection locked="0"/>
    </xf>
    <xf numFmtId="37" fontId="48" fillId="0" borderId="3" xfId="0" applyNumberFormat="1" applyFont="1" applyBorder="1" applyProtection="1">
      <protection locked="0"/>
    </xf>
    <xf numFmtId="3" fontId="48" fillId="0" borderId="3" xfId="0" applyNumberFormat="1" applyFont="1" applyBorder="1" applyProtection="1">
      <protection locked="0"/>
    </xf>
    <xf numFmtId="0" fontId="58" fillId="6" borderId="4" xfId="12" applyFont="1" applyFill="1" applyBorder="1" applyProtection="1"/>
    <xf numFmtId="0" fontId="58" fillId="6" borderId="8" xfId="12" applyFont="1" applyFill="1" applyBorder="1" applyProtection="1"/>
    <xf numFmtId="0" fontId="3" fillId="0" borderId="0" xfId="0" applyFont="1" applyAlignment="1">
      <alignment horizontal="right"/>
    </xf>
    <xf numFmtId="0" fontId="3" fillId="0" borderId="1" xfId="0" applyFont="1" applyBorder="1" applyAlignment="1">
      <alignment horizontal="center"/>
    </xf>
    <xf numFmtId="0" fontId="4" fillId="0" borderId="0" xfId="0" applyFont="1"/>
    <xf numFmtId="0" fontId="0" fillId="6" borderId="0" xfId="6" applyFont="1" applyFill="1" applyAlignment="1" applyProtection="1">
      <alignment horizontal="right"/>
    </xf>
    <xf numFmtId="0" fontId="0" fillId="0" borderId="0" xfId="0" quotePrefix="1" applyAlignment="1">
      <alignment horizontal="right"/>
    </xf>
    <xf numFmtId="49" fontId="0" fillId="0" borderId="0" xfId="0" applyNumberFormat="1" applyAlignment="1">
      <alignment horizontal="right"/>
    </xf>
    <xf numFmtId="0" fontId="49" fillId="0" borderId="0" xfId="0" applyFont="1"/>
    <xf numFmtId="0" fontId="4"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1"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3" fillId="0" borderId="16" xfId="0" applyFont="1" applyBorder="1"/>
    <xf numFmtId="0" fontId="0" fillId="0" borderId="17" xfId="0" applyBorder="1"/>
    <xf numFmtId="0" fontId="0" fillId="0" borderId="5" xfId="0" applyBorder="1" applyAlignment="1">
      <alignment horizontal="center"/>
    </xf>
    <xf numFmtId="0" fontId="3"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3" fillId="0" borderId="2" xfId="0" applyFont="1" applyBorder="1"/>
    <xf numFmtId="49" fontId="0" fillId="0" borderId="17" xfId="0" applyNumberFormat="1" applyBorder="1" applyAlignment="1">
      <alignment horizontal="right"/>
    </xf>
    <xf numFmtId="10" fontId="48"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4"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14" fontId="3" fillId="0" borderId="3" xfId="0" applyNumberFormat="1" applyFont="1" applyBorder="1"/>
    <xf numFmtId="0" fontId="5" fillId="0" borderId="0" xfId="0" applyFont="1" applyAlignment="1">
      <alignment horizontal="left"/>
    </xf>
    <xf numFmtId="0" fontId="32" fillId="0" borderId="0" xfId="0" applyFont="1" applyAlignment="1">
      <alignment vertical="center" wrapText="1"/>
    </xf>
    <xf numFmtId="0" fontId="32"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2" fillId="0" borderId="7" xfId="9" applyFont="1" applyBorder="1" applyAlignment="1">
      <alignment horizontal="centerContinuous"/>
    </xf>
    <xf numFmtId="0" fontId="32" fillId="0" borderId="13" xfId="9" applyFont="1" applyBorder="1" applyAlignment="1">
      <alignment horizontal="centerContinuous"/>
    </xf>
    <xf numFmtId="0" fontId="32" fillId="0" borderId="2" xfId="0" applyFont="1" applyBorder="1" applyAlignment="1">
      <alignment horizontal="center"/>
    </xf>
    <xf numFmtId="0" fontId="3" fillId="0" borderId="2" xfId="9" applyFont="1" applyBorder="1"/>
    <xf numFmtId="0" fontId="32" fillId="0" borderId="0" xfId="9" applyFont="1"/>
    <xf numFmtId="0" fontId="32" fillId="0" borderId="14" xfId="9" applyFont="1" applyBorder="1"/>
    <xf numFmtId="0" fontId="0" fillId="0" borderId="15" xfId="9" applyFont="1" applyBorder="1" applyAlignment="1">
      <alignment horizontal="center"/>
    </xf>
    <xf numFmtId="0" fontId="32" fillId="0" borderId="2" xfId="9" applyFont="1" applyBorder="1" applyAlignment="1">
      <alignment horizontal="center"/>
    </xf>
    <xf numFmtId="0" fontId="32" fillId="0" borderId="3" xfId="9" applyFont="1" applyBorder="1"/>
    <xf numFmtId="0" fontId="32" fillId="0" borderId="17" xfId="9" applyFont="1" applyBorder="1"/>
    <xf numFmtId="0" fontId="32" fillId="0" borderId="13" xfId="0" applyFont="1" applyBorder="1"/>
    <xf numFmtId="0" fontId="32" fillId="0" borderId="2" xfId="9" applyFont="1" applyBorder="1"/>
    <xf numFmtId="0" fontId="0" fillId="0" borderId="14" xfId="0" quotePrefix="1" applyBorder="1" applyAlignment="1">
      <alignment horizontal="right"/>
    </xf>
    <xf numFmtId="0" fontId="32" fillId="6" borderId="0" xfId="0" applyFont="1" applyFill="1"/>
    <xf numFmtId="0" fontId="32" fillId="0" borderId="16" xfId="9" applyFont="1" applyBorder="1"/>
    <xf numFmtId="0" fontId="32"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2" fillId="0" borderId="7" xfId="0" applyFont="1" applyBorder="1"/>
    <xf numFmtId="0" fontId="0" fillId="0" borderId="7" xfId="0" quotePrefix="1" applyBorder="1" applyAlignment="1">
      <alignment horizontal="right"/>
    </xf>
    <xf numFmtId="0" fontId="41" fillId="4" borderId="0" xfId="0" applyFont="1" applyFill="1" applyAlignment="1">
      <alignment vertical="center"/>
    </xf>
    <xf numFmtId="0" fontId="32" fillId="0" borderId="3" xfId="0" applyFont="1" applyBorder="1"/>
    <xf numFmtId="0" fontId="0" fillId="0" borderId="3" xfId="0" quotePrefix="1" applyBorder="1" applyAlignment="1">
      <alignment horizontal="right"/>
    </xf>
    <xf numFmtId="0" fontId="3" fillId="0" borderId="3"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42" fillId="0" borderId="0" xfId="0" applyFont="1" applyAlignment="1">
      <alignment vertical="center"/>
    </xf>
    <xf numFmtId="167" fontId="0" fillId="0" borderId="0" xfId="0" quotePrefix="1" applyNumberFormat="1" applyAlignment="1">
      <alignment horizontal="right"/>
    </xf>
    <xf numFmtId="167" fontId="0" fillId="0" borderId="3" xfId="0" quotePrefix="1" applyNumberFormat="1" applyBorder="1" applyAlignment="1">
      <alignment horizontal="right"/>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5" borderId="16" xfId="0" applyNumberFormat="1" applyFill="1" applyBorder="1"/>
    <xf numFmtId="168" fontId="0" fillId="0" borderId="3" xfId="0" applyNumberFormat="1" applyBorder="1"/>
    <xf numFmtId="167" fontId="0" fillId="0" borderId="3" xfId="9" applyNumberFormat="1" applyFont="1" applyBorder="1" applyAlignment="1">
      <alignment horizontal="right"/>
    </xf>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2" fillId="0" borderId="3" xfId="9" applyNumberFormat="1" applyFont="1" applyBorder="1" applyAlignment="1">
      <alignment horizontal="right"/>
    </xf>
    <xf numFmtId="38" fontId="0" fillId="5" borderId="5" xfId="0" applyNumberFormat="1" applyFill="1" applyBorder="1" applyAlignment="1">
      <alignment horizontal="center"/>
    </xf>
    <xf numFmtId="167" fontId="32" fillId="0" borderId="0" xfId="9" applyNumberFormat="1" applyFont="1" applyAlignment="1">
      <alignment horizontal="left"/>
    </xf>
    <xf numFmtId="168" fontId="32"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2"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48" fillId="4" borderId="10" xfId="0" applyNumberFormat="1" applyFont="1" applyFill="1" applyBorder="1"/>
    <xf numFmtId="49" fontId="0" fillId="0" borderId="3" xfId="0" applyNumberFormat="1" applyBorder="1" applyAlignment="1">
      <alignment horizontal="centerContinuous"/>
    </xf>
    <xf numFmtId="0" fontId="3" fillId="0" borderId="0" xfId="0" applyFont="1" applyAlignment="1">
      <alignment horizontal="centerContinuous"/>
    </xf>
    <xf numFmtId="37" fontId="48" fillId="0" borderId="3" xfId="0" applyNumberFormat="1" applyFont="1" applyBorder="1"/>
    <xf numFmtId="49" fontId="30" fillId="6" borderId="0" xfId="6" applyNumberFormat="1" applyFont="1" applyFill="1" applyProtection="1"/>
    <xf numFmtId="0" fontId="30"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0" fillId="4" borderId="0" xfId="0" applyFont="1" applyFill="1"/>
    <xf numFmtId="0" fontId="0" fillId="0" borderId="0" xfId="0" quotePrefix="1"/>
    <xf numFmtId="37" fontId="48" fillId="0" borderId="11" xfId="0" applyNumberFormat="1" applyFont="1" applyBorder="1"/>
    <xf numFmtId="37" fontId="48" fillId="4" borderId="18" xfId="0" applyNumberFormat="1" applyFont="1" applyFill="1" applyBorder="1"/>
    <xf numFmtId="37" fontId="0" fillId="0" borderId="0" xfId="0" applyNumberFormat="1" applyAlignment="1">
      <alignment horizontal="right"/>
    </xf>
    <xf numFmtId="0" fontId="4" fillId="0" borderId="10"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center" wrapText="1"/>
    </xf>
    <xf numFmtId="37" fontId="48" fillId="4" borderId="11" xfId="0" applyNumberFormat="1" applyFont="1" applyFill="1" applyBorder="1"/>
    <xf numFmtId="0" fontId="57"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0" fillId="0" borderId="0" xfId="6" applyFont="1" applyProtection="1"/>
    <xf numFmtId="0" fontId="6" fillId="6" borderId="0" xfId="6" applyFill="1" applyProtection="1"/>
    <xf numFmtId="0" fontId="5" fillId="0" borderId="0" xfId="0" applyFont="1"/>
    <xf numFmtId="37" fontId="0" fillId="0" borderId="19" xfId="0" applyNumberFormat="1" applyBorder="1"/>
    <xf numFmtId="49" fontId="15" fillId="0" borderId="0" xfId="0" applyNumberFormat="1" applyFont="1" applyAlignment="1">
      <alignment horizontal="right"/>
    </xf>
    <xf numFmtId="3" fontId="48" fillId="0" borderId="4" xfId="0" applyNumberFormat="1" applyFont="1" applyBorder="1"/>
    <xf numFmtId="0" fontId="30" fillId="0" borderId="0" xfId="0" applyFont="1"/>
    <xf numFmtId="3" fontId="48"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48" fillId="4" borderId="19" xfId="0" applyNumberFormat="1" applyFont="1" applyFill="1" applyBorder="1"/>
    <xf numFmtId="0" fontId="12" fillId="0" borderId="0" xfId="0" applyFont="1"/>
    <xf numFmtId="0" fontId="48" fillId="0" borderId="7" xfId="0" applyFont="1" applyBorder="1"/>
    <xf numFmtId="49" fontId="0" fillId="0" borderId="0" xfId="0" applyNumberFormat="1"/>
    <xf numFmtId="0" fontId="30" fillId="0" borderId="0" xfId="6" applyFont="1" applyFill="1" applyProtection="1"/>
    <xf numFmtId="0" fontId="32" fillId="0" borderId="0" xfId="6" applyFont="1" applyFill="1" applyProtection="1"/>
    <xf numFmtId="0" fontId="10" fillId="6" borderId="1" xfId="6" applyFont="1" applyFill="1" applyBorder="1" applyAlignment="1" applyProtection="1">
      <alignment horizontal="center" wrapText="1"/>
    </xf>
    <xf numFmtId="0" fontId="10"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48"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2" fillId="0" borderId="0" xfId="0" applyNumberFormat="1" applyFont="1" applyAlignment="1">
      <alignment horizontal="right"/>
    </xf>
    <xf numFmtId="49" fontId="32" fillId="0" borderId="0" xfId="0" applyNumberFormat="1" applyFont="1"/>
    <xf numFmtId="37" fontId="48" fillId="4" borderId="21" xfId="0" applyNumberFormat="1" applyFont="1" applyFill="1" applyBorder="1"/>
    <xf numFmtId="49" fontId="0" fillId="0" borderId="3" xfId="0" applyNumberFormat="1" applyBorder="1"/>
    <xf numFmtId="168" fontId="3" fillId="5" borderId="0" xfId="0" applyNumberFormat="1" applyFont="1" applyFill="1"/>
    <xf numFmtId="168" fontId="29" fillId="0" borderId="0" xfId="6" applyNumberFormat="1" applyFont="1" applyFill="1" applyProtection="1"/>
    <xf numFmtId="168" fontId="14" fillId="0" borderId="2" xfId="6" applyNumberFormat="1" applyFont="1" applyFill="1" applyBorder="1" applyProtection="1"/>
    <xf numFmtId="168" fontId="32"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0"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2"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0" fillId="6" borderId="0" xfId="6" applyNumberFormat="1" applyFont="1" applyFill="1" applyBorder="1" applyAlignment="1" applyProtection="1">
      <alignment horizontal="center"/>
    </xf>
    <xf numFmtId="168" fontId="3" fillId="0" borderId="0" xfId="0" applyNumberFormat="1" applyFont="1" applyAlignment="1">
      <alignment horizontal="left"/>
    </xf>
    <xf numFmtId="1" fontId="30"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0"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2" fillId="0" borderId="0" xfId="0" applyNumberFormat="1" applyFont="1" applyAlignment="1">
      <alignment horizontal="left"/>
    </xf>
    <xf numFmtId="168" fontId="16" fillId="5" borderId="0" xfId="0" applyNumberFormat="1" applyFont="1" applyFill="1"/>
    <xf numFmtId="168" fontId="0" fillId="5" borderId="10" xfId="0" applyNumberFormat="1" applyFill="1" applyBorder="1" applyAlignment="1">
      <alignment horizontal="center"/>
    </xf>
    <xf numFmtId="168" fontId="30" fillId="6" borderId="10" xfId="0" applyNumberFormat="1" applyFont="1" applyFill="1" applyBorder="1"/>
    <xf numFmtId="168" fontId="33" fillId="5" borderId="0" xfId="0" applyNumberFormat="1" applyFont="1" applyFill="1"/>
    <xf numFmtId="168" fontId="30" fillId="6" borderId="0" xfId="6" applyNumberFormat="1" applyFont="1" applyFill="1" applyBorder="1" applyProtection="1"/>
    <xf numFmtId="49" fontId="16" fillId="5" borderId="0" xfId="0" applyNumberFormat="1" applyFont="1" applyFill="1" applyAlignment="1">
      <alignment horizontal="right"/>
    </xf>
    <xf numFmtId="168" fontId="30" fillId="6" borderId="15" xfId="0" applyNumberFormat="1" applyFont="1" applyFill="1" applyBorder="1"/>
    <xf numFmtId="49" fontId="0" fillId="5" borderId="0" xfId="0" applyNumberFormat="1" applyFill="1" applyAlignment="1">
      <alignment horizontal="right"/>
    </xf>
    <xf numFmtId="168" fontId="30"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0"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2"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0" fillId="6" borderId="0" xfId="6" applyNumberFormat="1" applyFont="1" applyFill="1" applyProtection="1"/>
    <xf numFmtId="168" fontId="33" fillId="6" borderId="0" xfId="0" applyNumberFormat="1" applyFont="1" applyFill="1"/>
    <xf numFmtId="168" fontId="0" fillId="0" borderId="5" xfId="0" applyNumberFormat="1" applyBorder="1" applyAlignment="1">
      <alignment horizontal="center"/>
    </xf>
    <xf numFmtId="168" fontId="32" fillId="5" borderId="0" xfId="0" quotePrefix="1" applyNumberFormat="1" applyFont="1" applyFill="1" applyAlignment="1">
      <alignment horizontal="right"/>
    </xf>
    <xf numFmtId="49" fontId="28" fillId="5" borderId="0" xfId="0" applyNumberFormat="1" applyFont="1" applyFill="1" applyAlignment="1">
      <alignment horizontal="left"/>
    </xf>
    <xf numFmtId="168" fontId="33" fillId="0" borderId="0" xfId="0" applyNumberFormat="1" applyFont="1" applyAlignment="1">
      <alignment vertical="top" wrapText="1"/>
    </xf>
    <xf numFmtId="168" fontId="39" fillId="6" borderId="0" xfId="6" applyNumberFormat="1" applyFont="1" applyFill="1" applyProtection="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1" fillId="0" borderId="0" xfId="10" applyFont="1" applyAlignment="1">
      <alignment horizontal="right"/>
    </xf>
    <xf numFmtId="168" fontId="28" fillId="5" borderId="0" xfId="10" applyNumberFormat="1" applyFont="1" applyFill="1"/>
    <xf numFmtId="168" fontId="28" fillId="0" borderId="0" xfId="10" applyNumberFormat="1" applyFont="1"/>
    <xf numFmtId="0" fontId="0" fillId="0" borderId="3" xfId="11" applyFont="1" applyBorder="1" applyAlignment="1">
      <alignment horizontal="center"/>
    </xf>
    <xf numFmtId="0" fontId="28" fillId="0" borderId="0" xfId="10" applyFont="1" applyAlignment="1">
      <alignment horizontal="center"/>
    </xf>
    <xf numFmtId="168" fontId="51" fillId="5" borderId="0" xfId="10" applyNumberFormat="1" applyFont="1" applyFill="1" applyAlignment="1">
      <alignment horizontal="center"/>
    </xf>
    <xf numFmtId="168" fontId="3" fillId="5" borderId="0" xfId="10" applyNumberFormat="1" applyFont="1" applyFill="1" applyAlignment="1">
      <alignment horizontal="center"/>
    </xf>
    <xf numFmtId="168" fontId="32" fillId="5" borderId="0" xfId="10" applyNumberFormat="1" applyFont="1" applyFill="1"/>
    <xf numFmtId="168" fontId="32" fillId="0" borderId="0" xfId="10" applyNumberFormat="1" applyFont="1"/>
    <xf numFmtId="0" fontId="32" fillId="0" borderId="0" xfId="10" applyFont="1"/>
    <xf numFmtId="0" fontId="51" fillId="0" borderId="0" xfId="10" applyFont="1" applyAlignment="1">
      <alignment horizontal="left"/>
    </xf>
    <xf numFmtId="0" fontId="28" fillId="0" borderId="0" xfId="10" applyFont="1"/>
    <xf numFmtId="14" fontId="28" fillId="5" borderId="0" xfId="10" applyNumberFormat="1" applyFont="1" applyFill="1" applyAlignment="1">
      <alignment horizontal="left"/>
    </xf>
    <xf numFmtId="168" fontId="28" fillId="5" borderId="13" xfId="10" applyNumberFormat="1" applyFont="1" applyFill="1" applyBorder="1"/>
    <xf numFmtId="168" fontId="51" fillId="5" borderId="1" xfId="10" applyNumberFormat="1" applyFont="1" applyFill="1" applyBorder="1" applyAlignment="1">
      <alignment horizontal="center"/>
    </xf>
    <xf numFmtId="168" fontId="28" fillId="0" borderId="10" xfId="10" applyNumberFormat="1" applyFont="1" applyBorder="1" applyAlignment="1">
      <alignment horizontal="center"/>
    </xf>
    <xf numFmtId="2" fontId="28" fillId="0" borderId="10" xfId="10" applyNumberFormat="1" applyFont="1" applyBorder="1" applyAlignment="1">
      <alignment horizontal="center"/>
    </xf>
    <xf numFmtId="49" fontId="51" fillId="6" borderId="10" xfId="10" applyNumberFormat="1" applyFont="1" applyFill="1" applyBorder="1" applyAlignment="1">
      <alignment horizontal="center" wrapText="1"/>
    </xf>
    <xf numFmtId="168" fontId="28" fillId="0" borderId="15" xfId="10" applyNumberFormat="1" applyFont="1" applyBorder="1" applyAlignment="1">
      <alignment horizontal="center"/>
    </xf>
    <xf numFmtId="2" fontId="28" fillId="0" borderId="15" xfId="10" applyNumberFormat="1" applyFont="1" applyBorder="1" applyAlignment="1">
      <alignment horizontal="center"/>
    </xf>
    <xf numFmtId="49" fontId="28" fillId="0" borderId="15" xfId="10" applyNumberFormat="1" applyFont="1" applyBorder="1" applyAlignment="1">
      <alignment horizontal="center" wrapText="1"/>
    </xf>
    <xf numFmtId="49" fontId="51"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28" fillId="0" borderId="15" xfId="10" applyNumberFormat="1" applyFont="1" applyBorder="1" applyAlignment="1">
      <alignment horizontal="center"/>
    </xf>
    <xf numFmtId="0" fontId="10" fillId="6" borderId="0" xfId="6" applyFont="1" applyFill="1" applyAlignment="1" applyProtection="1">
      <alignment horizontal="center" vertical="center"/>
    </xf>
    <xf numFmtId="1" fontId="28"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28" fillId="5" borderId="12" xfId="10" applyNumberFormat="1" applyFont="1" applyFill="1" applyBorder="1" applyAlignment="1">
      <alignment horizontal="left"/>
    </xf>
    <xf numFmtId="168" fontId="28" fillId="5" borderId="7" xfId="10" applyNumberFormat="1" applyFont="1" applyFill="1" applyBorder="1" applyAlignment="1">
      <alignment horizontal="left"/>
    </xf>
    <xf numFmtId="168" fontId="28" fillId="5" borderId="13" xfId="10" quotePrefix="1" applyNumberFormat="1" applyFont="1" applyFill="1" applyBorder="1" applyAlignment="1">
      <alignment horizontal="right"/>
    </xf>
    <xf numFmtId="37" fontId="28" fillId="0" borderId="1" xfId="10" applyNumberFormat="1" applyFont="1" applyBorder="1" applyAlignment="1">
      <alignment horizontal="right" vertical="center"/>
    </xf>
    <xf numFmtId="37" fontId="28" fillId="8" borderId="1" xfId="10" applyNumberFormat="1" applyFont="1" applyFill="1" applyBorder="1" applyAlignment="1">
      <alignment horizontal="right" vertical="center"/>
    </xf>
    <xf numFmtId="37" fontId="51" fillId="0" borderId="1" xfId="10" applyNumberFormat="1" applyFont="1" applyBorder="1" applyAlignment="1">
      <alignment horizontal="right" vertical="center"/>
    </xf>
    <xf numFmtId="168" fontId="28" fillId="5" borderId="0" xfId="10" quotePrefix="1" applyNumberFormat="1" applyFont="1" applyFill="1" applyAlignment="1">
      <alignment horizontal="left"/>
    </xf>
    <xf numFmtId="168" fontId="28" fillId="5" borderId="2" xfId="10" applyNumberFormat="1" applyFont="1" applyFill="1" applyBorder="1" applyAlignment="1">
      <alignment horizontal="left"/>
    </xf>
    <xf numFmtId="168" fontId="28"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2" fillId="11" borderId="0" xfId="10" applyNumberFormat="1" applyFont="1" applyFill="1"/>
    <xf numFmtId="1" fontId="28" fillId="5" borderId="2" xfId="10" applyNumberFormat="1" applyFont="1" applyFill="1" applyBorder="1" applyAlignment="1">
      <alignment horizontal="left"/>
    </xf>
    <xf numFmtId="1" fontId="28" fillId="5" borderId="0" xfId="10" applyNumberFormat="1" applyFont="1" applyFill="1" applyAlignment="1">
      <alignment horizontal="left"/>
    </xf>
    <xf numFmtId="49" fontId="28" fillId="5" borderId="14" xfId="10" quotePrefix="1" applyNumberFormat="1" applyFont="1" applyFill="1" applyBorder="1" applyAlignment="1">
      <alignment horizontal="right"/>
    </xf>
    <xf numFmtId="49" fontId="28" fillId="5" borderId="0" xfId="10" quotePrefix="1" applyNumberFormat="1" applyFont="1" applyFill="1" applyAlignment="1">
      <alignment horizontal="left"/>
    </xf>
    <xf numFmtId="168" fontId="28" fillId="0" borderId="2" xfId="10" applyNumberFormat="1" applyFont="1" applyBorder="1" applyAlignment="1">
      <alignment horizontal="left"/>
    </xf>
    <xf numFmtId="168" fontId="28" fillId="0" borderId="0" xfId="10" applyNumberFormat="1" applyFont="1" applyAlignment="1">
      <alignment horizontal="left"/>
    </xf>
    <xf numFmtId="0" fontId="50" fillId="6" borderId="2" xfId="6" applyFont="1" applyFill="1" applyBorder="1" applyProtection="1"/>
    <xf numFmtId="168" fontId="28" fillId="6" borderId="0" xfId="10" applyNumberFormat="1" applyFont="1" applyFill="1" applyAlignment="1">
      <alignment horizontal="left"/>
    </xf>
    <xf numFmtId="49" fontId="28" fillId="6" borderId="14" xfId="10" quotePrefix="1" applyNumberFormat="1" applyFont="1" applyFill="1" applyBorder="1" applyAlignment="1">
      <alignment horizontal="right"/>
    </xf>
    <xf numFmtId="168" fontId="28" fillId="0" borderId="16" xfId="10" applyNumberFormat="1" applyFont="1" applyBorder="1" applyAlignment="1">
      <alignment horizontal="left"/>
    </xf>
    <xf numFmtId="168" fontId="28" fillId="0" borderId="3" xfId="10" applyNumberFormat="1" applyFont="1" applyBorder="1" applyAlignment="1">
      <alignment horizontal="left"/>
    </xf>
    <xf numFmtId="49" fontId="28" fillId="5" borderId="17" xfId="10" quotePrefix="1" applyNumberFormat="1" applyFont="1" applyFill="1" applyBorder="1" applyAlignment="1">
      <alignment horizontal="right"/>
    </xf>
    <xf numFmtId="37" fontId="51" fillId="0" borderId="1" xfId="10" applyNumberFormat="1" applyFont="1" applyBorder="1"/>
    <xf numFmtId="49" fontId="28" fillId="5" borderId="0" xfId="10" quotePrefix="1" applyNumberFormat="1" applyFont="1" applyFill="1" applyAlignment="1">
      <alignment horizontal="right"/>
    </xf>
    <xf numFmtId="0" fontId="53" fillId="6" borderId="9" xfId="6" applyFont="1" applyFill="1" applyBorder="1" applyProtection="1"/>
    <xf numFmtId="0" fontId="3" fillId="6" borderId="4" xfId="10" applyFont="1" applyFill="1" applyBorder="1"/>
    <xf numFmtId="0" fontId="3" fillId="6" borderId="8" xfId="10" applyFont="1" applyFill="1" applyBorder="1"/>
    <xf numFmtId="168" fontId="51" fillId="5" borderId="9" xfId="10" applyNumberFormat="1" applyFont="1" applyFill="1" applyBorder="1"/>
    <xf numFmtId="168" fontId="51" fillId="5" borderId="4" xfId="10" applyNumberFormat="1" applyFont="1" applyFill="1" applyBorder="1"/>
    <xf numFmtId="168" fontId="28" fillId="5" borderId="8" xfId="10" applyNumberFormat="1" applyFont="1" applyFill="1" applyBorder="1" applyAlignment="1">
      <alignment horizontal="center"/>
    </xf>
    <xf numFmtId="168" fontId="28" fillId="5" borderId="16" xfId="10" applyNumberFormat="1" applyFont="1" applyFill="1" applyBorder="1"/>
    <xf numFmtId="168" fontId="28" fillId="5" borderId="3" xfId="10" applyNumberFormat="1" applyFont="1" applyFill="1" applyBorder="1"/>
    <xf numFmtId="168" fontId="28" fillId="5" borderId="17" xfId="10" applyNumberFormat="1" applyFont="1" applyFill="1" applyBorder="1"/>
    <xf numFmtId="168" fontId="28" fillId="5" borderId="9" xfId="10" applyNumberFormat="1" applyFont="1" applyFill="1" applyBorder="1"/>
    <xf numFmtId="168" fontId="28" fillId="5" borderId="4" xfId="10" applyNumberFormat="1" applyFont="1" applyFill="1" applyBorder="1"/>
    <xf numFmtId="168" fontId="28" fillId="5" borderId="8" xfId="10" applyNumberFormat="1" applyFont="1" applyFill="1" applyBorder="1"/>
    <xf numFmtId="0" fontId="28" fillId="0" borderId="9" xfId="10" applyFont="1" applyBorder="1"/>
    <xf numFmtId="0" fontId="28" fillId="0" borderId="4" xfId="10" applyFont="1" applyBorder="1"/>
    <xf numFmtId="168" fontId="28" fillId="0" borderId="8" xfId="10" applyNumberFormat="1" applyFont="1" applyBorder="1"/>
    <xf numFmtId="37" fontId="28" fillId="5" borderId="1" xfId="10" applyNumberFormat="1" applyFont="1" applyFill="1" applyBorder="1"/>
    <xf numFmtId="168" fontId="28" fillId="0" borderId="9" xfId="10" applyNumberFormat="1" applyFont="1" applyBorder="1"/>
    <xf numFmtId="168" fontId="28" fillId="0" borderId="4" xfId="10" applyNumberFormat="1" applyFont="1" applyBorder="1"/>
    <xf numFmtId="168" fontId="28" fillId="5" borderId="12" xfId="10" applyNumberFormat="1" applyFont="1" applyFill="1" applyBorder="1"/>
    <xf numFmtId="168" fontId="28" fillId="5" borderId="7" xfId="10" applyNumberFormat="1" applyFont="1" applyFill="1" applyBorder="1"/>
    <xf numFmtId="168" fontId="28" fillId="0" borderId="13" xfId="10" applyNumberFormat="1" applyFont="1" applyBorder="1"/>
    <xf numFmtId="0" fontId="50" fillId="6" borderId="9" xfId="6" applyFont="1" applyFill="1" applyBorder="1" applyProtection="1"/>
    <xf numFmtId="168" fontId="28" fillId="6" borderId="4" xfId="10" applyNumberFormat="1" applyFont="1" applyFill="1" applyBorder="1"/>
    <xf numFmtId="168" fontId="28" fillId="6" borderId="8" xfId="10" applyNumberFormat="1" applyFont="1" applyFill="1" applyBorder="1"/>
    <xf numFmtId="38" fontId="28" fillId="0" borderId="0" xfId="10" applyNumberFormat="1" applyFont="1" applyAlignment="1">
      <alignment horizontal="right" vertical="center"/>
    </xf>
    <xf numFmtId="168" fontId="28" fillId="5" borderId="0" xfId="10" quotePrefix="1" applyNumberFormat="1" applyFont="1" applyFill="1"/>
    <xf numFmtId="168" fontId="28" fillId="5" borderId="9" xfId="10" quotePrefix="1" applyNumberFormat="1" applyFont="1" applyFill="1" applyBorder="1"/>
    <xf numFmtId="37" fontId="28" fillId="0" borderId="1" xfId="10" applyNumberFormat="1" applyFont="1" applyBorder="1" applyAlignment="1">
      <alignment horizontal="right"/>
    </xf>
    <xf numFmtId="0" fontId="28" fillId="0" borderId="0" xfId="4" quotePrefix="1" applyNumberFormat="1" applyFont="1" applyFill="1" applyBorder="1" applyAlignment="1" applyProtection="1">
      <alignment horizontal="left"/>
    </xf>
    <xf numFmtId="168" fontId="28" fillId="0" borderId="0" xfId="10" applyNumberFormat="1" applyFont="1" applyAlignment="1">
      <alignment wrapText="1"/>
    </xf>
    <xf numFmtId="0" fontId="42" fillId="0" borderId="0" xfId="4" quotePrefix="1" applyNumberFormat="1" applyFont="1" applyFill="1" applyBorder="1" applyAlignment="1" applyProtection="1">
      <alignment vertical="center" wrapText="1"/>
    </xf>
    <xf numFmtId="168" fontId="42" fillId="4" borderId="0" xfId="10" applyNumberFormat="1" applyFont="1" applyFill="1" applyAlignment="1">
      <alignment vertical="center" wrapText="1"/>
    </xf>
    <xf numFmtId="168" fontId="42" fillId="0" borderId="0" xfId="10" applyNumberFormat="1" applyFont="1" applyAlignment="1">
      <alignment wrapText="1"/>
    </xf>
    <xf numFmtId="37" fontId="51" fillId="0" borderId="1" xfId="10" applyNumberFormat="1" applyFont="1" applyBorder="1" applyAlignment="1">
      <alignment horizontal="right"/>
    </xf>
    <xf numFmtId="168" fontId="28" fillId="0" borderId="0" xfId="10" applyNumberFormat="1" applyFont="1" applyAlignment="1">
      <alignment horizontal="right"/>
    </xf>
    <xf numFmtId="0" fontId="0" fillId="0" borderId="0" xfId="10" applyFont="1" applyAlignment="1">
      <alignment vertical="top"/>
    </xf>
    <xf numFmtId="0" fontId="32" fillId="0" borderId="0" xfId="10" applyFont="1" applyAlignment="1">
      <alignment vertical="top"/>
    </xf>
    <xf numFmtId="37" fontId="28" fillId="0" borderId="1" xfId="4" applyNumberFormat="1" applyFont="1" applyBorder="1" applyProtection="1">
      <protection locked="0"/>
    </xf>
    <xf numFmtId="172" fontId="28" fillId="0" borderId="1" xfId="4" applyNumberFormat="1" applyFont="1" applyBorder="1" applyProtection="1">
      <protection locked="0"/>
    </xf>
    <xf numFmtId="37" fontId="28" fillId="0" borderId="1" xfId="4" applyNumberFormat="1" applyFont="1" applyBorder="1" applyProtection="1"/>
    <xf numFmtId="0" fontId="3" fillId="0" borderId="0" xfId="13" applyFont="1"/>
    <xf numFmtId="0" fontId="62" fillId="0" borderId="0" xfId="13"/>
    <xf numFmtId="168" fontId="3" fillId="5" borderId="0" xfId="13" applyNumberFormat="1" applyFont="1" applyFill="1" applyAlignment="1">
      <alignment horizontal="left"/>
    </xf>
    <xf numFmtId="0" fontId="10" fillId="6" borderId="0" xfId="6" applyFont="1" applyFill="1" applyAlignment="1" applyProtection="1">
      <alignment horizontal="right"/>
    </xf>
    <xf numFmtId="0" fontId="62" fillId="0" borderId="0" xfId="13" applyAlignment="1">
      <alignment horizontal="right" vertical="center"/>
    </xf>
    <xf numFmtId="37" fontId="26" fillId="5" borderId="0" xfId="13" applyNumberFormat="1" applyFont="1" applyFill="1" applyAlignment="1">
      <alignment horizontal="left" vertical="center"/>
    </xf>
    <xf numFmtId="168" fontId="62" fillId="5" borderId="22" xfId="13" applyNumberFormat="1" applyFill="1" applyBorder="1"/>
    <xf numFmtId="168" fontId="62" fillId="6" borderId="22" xfId="13" applyNumberFormat="1" applyFill="1" applyBorder="1"/>
    <xf numFmtId="168" fontId="50" fillId="6" borderId="22" xfId="6" applyNumberFormat="1" applyFont="1" applyFill="1" applyBorder="1" applyAlignment="1" applyProtection="1">
      <alignment horizontal="center"/>
    </xf>
    <xf numFmtId="37" fontId="46" fillId="0" borderId="23" xfId="13" applyNumberFormat="1" applyFont="1" applyBorder="1" applyAlignment="1">
      <alignment horizontal="center"/>
    </xf>
    <xf numFmtId="37" fontId="46" fillId="0" borderId="10" xfId="13" applyNumberFormat="1" applyFont="1" applyBorder="1" applyAlignment="1">
      <alignment horizontal="center"/>
    </xf>
    <xf numFmtId="37" fontId="46" fillId="5" borderId="24" xfId="13" applyNumberFormat="1" applyFont="1" applyFill="1" applyBorder="1" applyAlignment="1">
      <alignment horizontal="center"/>
    </xf>
    <xf numFmtId="37" fontId="46" fillId="5" borderId="25" xfId="13" applyNumberFormat="1" applyFont="1" applyFill="1" applyBorder="1" applyAlignment="1">
      <alignment horizontal="left"/>
    </xf>
    <xf numFmtId="37" fontId="50" fillId="6" borderId="25" xfId="6" applyNumberFormat="1" applyFont="1" applyFill="1" applyBorder="1" applyAlignment="1" applyProtection="1">
      <alignment horizontal="center" vertical="center"/>
    </xf>
    <xf numFmtId="37" fontId="50" fillId="6" borderId="25" xfId="6" applyNumberFormat="1" applyFont="1" applyFill="1" applyBorder="1" applyAlignment="1" applyProtection="1">
      <alignment horizontal="center"/>
    </xf>
    <xf numFmtId="38" fontId="46" fillId="0" borderId="26" xfId="13" applyNumberFormat="1" applyFont="1" applyBorder="1" applyAlignment="1">
      <alignment horizontal="center"/>
    </xf>
    <xf numFmtId="37" fontId="46" fillId="0" borderId="15" xfId="13" applyNumberFormat="1" applyFont="1" applyBorder="1" applyAlignment="1">
      <alignment horizontal="center"/>
    </xf>
    <xf numFmtId="37" fontId="46" fillId="5" borderId="15" xfId="13" applyNumberFormat="1" applyFont="1" applyFill="1" applyBorder="1" applyAlignment="1">
      <alignment horizontal="center"/>
    </xf>
    <xf numFmtId="37" fontId="46" fillId="5" borderId="27" xfId="13" applyNumberFormat="1" applyFont="1" applyFill="1" applyBorder="1" applyAlignment="1">
      <alignment horizontal="center"/>
    </xf>
    <xf numFmtId="38" fontId="50" fillId="6" borderId="28" xfId="6" applyNumberFormat="1" applyFont="1" applyFill="1" applyBorder="1" applyAlignment="1" applyProtection="1">
      <alignment horizontal="center" vertical="center"/>
    </xf>
    <xf numFmtId="38" fontId="50" fillId="6" borderId="28" xfId="6" applyNumberFormat="1" applyFont="1" applyFill="1" applyBorder="1" applyAlignment="1" applyProtection="1">
      <alignment horizontal="center"/>
    </xf>
    <xf numFmtId="38" fontId="46" fillId="0" borderId="29" xfId="13" applyNumberFormat="1" applyFont="1" applyBorder="1" applyAlignment="1">
      <alignment horizontal="center"/>
    </xf>
    <xf numFmtId="37" fontId="46" fillId="0" borderId="5" xfId="13" applyNumberFormat="1" applyFont="1" applyBorder="1" applyAlignment="1">
      <alignment horizontal="center"/>
    </xf>
    <xf numFmtId="38" fontId="46" fillId="5" borderId="5" xfId="13" applyNumberFormat="1" applyFont="1" applyFill="1" applyBorder="1" applyAlignment="1">
      <alignment horizontal="center"/>
    </xf>
    <xf numFmtId="37" fontId="46" fillId="5" borderId="29" xfId="13" applyNumberFormat="1" applyFont="1" applyFill="1" applyBorder="1" applyAlignment="1">
      <alignment horizontal="left"/>
    </xf>
    <xf numFmtId="37" fontId="46" fillId="7" borderId="1" xfId="13" applyNumberFormat="1" applyFont="1" applyFill="1" applyBorder="1"/>
    <xf numFmtId="37" fontId="46" fillId="7" borderId="5" xfId="13" applyNumberFormat="1" applyFont="1" applyFill="1" applyBorder="1"/>
    <xf numFmtId="37" fontId="46" fillId="7" borderId="16" xfId="13" applyNumberFormat="1" applyFont="1" applyFill="1" applyBorder="1"/>
    <xf numFmtId="37" fontId="47" fillId="8" borderId="9" xfId="13" applyNumberFormat="1" applyFont="1" applyFill="1" applyBorder="1" applyAlignment="1">
      <alignment horizontal="center"/>
    </xf>
    <xf numFmtId="37" fontId="46" fillId="5" borderId="24" xfId="13" applyNumberFormat="1" applyFont="1" applyFill="1" applyBorder="1"/>
    <xf numFmtId="37" fontId="46" fillId="5" borderId="13" xfId="13" applyNumberFormat="1" applyFont="1" applyFill="1" applyBorder="1"/>
    <xf numFmtId="37" fontId="47" fillId="8" borderId="8" xfId="13" applyNumberFormat="1" applyFont="1" applyFill="1" applyBorder="1" applyAlignment="1">
      <alignment horizontal="center"/>
    </xf>
    <xf numFmtId="37" fontId="46" fillId="7" borderId="9" xfId="13" applyNumberFormat="1" applyFont="1" applyFill="1" applyBorder="1"/>
    <xf numFmtId="37" fontId="46" fillId="5" borderId="30" xfId="13" applyNumberFormat="1" applyFont="1" applyFill="1" applyBorder="1"/>
    <xf numFmtId="165" fontId="62" fillId="0" borderId="0" xfId="13" applyNumberFormat="1"/>
    <xf numFmtId="37" fontId="46" fillId="0" borderId="24" xfId="13" applyNumberFormat="1" applyFont="1" applyBorder="1"/>
    <xf numFmtId="37" fontId="46" fillId="5" borderId="26" xfId="13" applyNumberFormat="1" applyFont="1" applyFill="1" applyBorder="1" applyAlignment="1">
      <alignment horizontal="left"/>
    </xf>
    <xf numFmtId="37" fontId="46" fillId="7" borderId="10" xfId="13" applyNumberFormat="1" applyFont="1" applyFill="1" applyBorder="1"/>
    <xf numFmtId="37" fontId="46" fillId="7" borderId="12" xfId="13" applyNumberFormat="1" applyFont="1" applyFill="1" applyBorder="1"/>
    <xf numFmtId="37" fontId="46" fillId="0" borderId="31" xfId="13" applyNumberFormat="1" applyFont="1" applyBorder="1"/>
    <xf numFmtId="37" fontId="46" fillId="5" borderId="32" xfId="13" applyNumberFormat="1" applyFont="1" applyFill="1" applyBorder="1"/>
    <xf numFmtId="42" fontId="62" fillId="5" borderId="3" xfId="13" applyNumberFormat="1" applyFill="1" applyBorder="1"/>
    <xf numFmtId="37" fontId="46" fillId="0" borderId="1" xfId="13" applyNumberFormat="1" applyFont="1" applyBorder="1" applyAlignment="1">
      <alignment horizontal="left"/>
    </xf>
    <xf numFmtId="37" fontId="47" fillId="8" borderId="1" xfId="13" applyNumberFormat="1" applyFont="1" applyFill="1" applyBorder="1" applyAlignment="1">
      <alignment horizontal="center"/>
    </xf>
    <xf numFmtId="37" fontId="46" fillId="0" borderId="17" xfId="13" applyNumberFormat="1" applyFont="1" applyBorder="1"/>
    <xf numFmtId="37" fontId="46" fillId="5" borderId="16" xfId="13" applyNumberFormat="1" applyFont="1" applyFill="1" applyBorder="1"/>
    <xf numFmtId="37" fontId="46" fillId="7" borderId="1" xfId="13" applyNumberFormat="1" applyFont="1" applyFill="1" applyBorder="1" applyAlignment="1">
      <alignment horizontal="center"/>
    </xf>
    <xf numFmtId="37" fontId="46" fillId="0" borderId="9" xfId="13" applyNumberFormat="1" applyFont="1" applyBorder="1" applyAlignment="1">
      <alignment horizontal="left"/>
    </xf>
    <xf numFmtId="37" fontId="46" fillId="0" borderId="1" xfId="13" applyNumberFormat="1" applyFont="1" applyBorder="1"/>
    <xf numFmtId="37" fontId="46" fillId="5" borderId="1" xfId="13" applyNumberFormat="1" applyFont="1" applyFill="1" applyBorder="1"/>
    <xf numFmtId="37" fontId="46" fillId="0" borderId="8" xfId="13" applyNumberFormat="1" applyFont="1" applyBorder="1"/>
    <xf numFmtId="37" fontId="46" fillId="5" borderId="9" xfId="13" applyNumberFormat="1" applyFont="1" applyFill="1" applyBorder="1"/>
    <xf numFmtId="37" fontId="46" fillId="5" borderId="8" xfId="13" applyNumberFormat="1" applyFont="1" applyFill="1" applyBorder="1"/>
    <xf numFmtId="0" fontId="32" fillId="0" borderId="0" xfId="13" applyFont="1"/>
    <xf numFmtId="37" fontId="46" fillId="0" borderId="1" xfId="13" applyNumberFormat="1" applyFont="1" applyBorder="1" applyProtection="1">
      <protection locked="0"/>
    </xf>
    <xf numFmtId="0" fontId="0" fillId="0" borderId="0" xfId="11" applyFont="1" applyAlignment="1">
      <alignment horizontal="center"/>
    </xf>
    <xf numFmtId="0" fontId="28" fillId="0" borderId="0" xfId="8" applyFont="1"/>
    <xf numFmtId="37" fontId="28" fillId="0" borderId="0" xfId="8" applyNumberFormat="1" applyFont="1"/>
    <xf numFmtId="0" fontId="51" fillId="0" borderId="0" xfId="8" applyFont="1" applyAlignment="1">
      <alignment horizontal="right"/>
    </xf>
    <xf numFmtId="0" fontId="0" fillId="0" borderId="0" xfId="4" applyNumberFormat="1" applyFont="1" applyBorder="1" applyAlignment="1" applyProtection="1">
      <alignment horizontal="left" vertical="top"/>
    </xf>
    <xf numFmtId="37" fontId="28" fillId="0" borderId="0" xfId="8" applyNumberFormat="1" applyFont="1" applyAlignment="1">
      <alignment horizontal="left"/>
    </xf>
    <xf numFmtId="0" fontId="32" fillId="0" borderId="0" xfId="8" applyFont="1"/>
    <xf numFmtId="37" fontId="51" fillId="0" borderId="0" xfId="8" applyNumberFormat="1" applyFont="1" applyAlignment="1">
      <alignment horizontal="left"/>
    </xf>
    <xf numFmtId="0" fontId="51" fillId="12" borderId="1" xfId="0" applyFont="1" applyFill="1" applyBorder="1" applyAlignment="1">
      <alignment horizontal="center" wrapText="1"/>
    </xf>
    <xf numFmtId="0" fontId="51" fillId="0" borderId="0" xfId="0" applyFont="1" applyAlignment="1">
      <alignment horizontal="left" vertical="top"/>
    </xf>
    <xf numFmtId="0" fontId="51" fillId="0" borderId="0" xfId="0" applyFont="1" applyAlignment="1">
      <alignment wrapText="1"/>
    </xf>
    <xf numFmtId="168" fontId="10" fillId="6" borderId="0" xfId="6" quotePrefix="1" applyNumberFormat="1" applyFont="1" applyFill="1" applyAlignment="1" applyProtection="1">
      <alignment horizontal="right"/>
    </xf>
    <xf numFmtId="0" fontId="0" fillId="0" borderId="0" xfId="0" applyAlignment="1">
      <alignment horizontal="left" vertical="top"/>
    </xf>
    <xf numFmtId="0" fontId="3" fillId="0" borderId="0" xfId="0" quotePrefix="1" applyFont="1" applyAlignment="1">
      <alignment horizontal="left"/>
    </xf>
    <xf numFmtId="0" fontId="54" fillId="0" borderId="0" xfId="0" applyFont="1"/>
    <xf numFmtId="0" fontId="0" fillId="0" borderId="1" xfId="0" applyBorder="1"/>
    <xf numFmtId="49" fontId="28" fillId="0" borderId="0" xfId="6" applyNumberFormat="1" applyFont="1" applyFill="1" applyAlignment="1" applyProtection="1">
      <alignment horizontal="center" vertical="top"/>
    </xf>
    <xf numFmtId="0" fontId="51" fillId="0" borderId="0" xfId="0" applyFont="1" applyAlignment="1">
      <alignment horizontal="center" wrapText="1"/>
    </xf>
    <xf numFmtId="49" fontId="10"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0" fontId="32" fillId="0" borderId="0" xfId="0" applyFont="1" applyAlignment="1">
      <alignment horizontal="left" vertical="top" wrapText="1"/>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8" fillId="0" borderId="0" xfId="0" applyFont="1" applyAlignment="1">
      <alignment vertical="top"/>
    </xf>
    <xf numFmtId="0" fontId="43" fillId="0" borderId="0" xfId="0" applyFont="1" applyAlignment="1">
      <alignment vertical="top" wrapText="1"/>
    </xf>
    <xf numFmtId="0" fontId="0" fillId="0" borderId="0" xfId="0" applyAlignment="1">
      <alignment vertical="center" wrapText="1"/>
    </xf>
    <xf numFmtId="0" fontId="17" fillId="0" borderId="1" xfId="6" applyFont="1" applyBorder="1" applyProtection="1"/>
    <xf numFmtId="0" fontId="36" fillId="0" borderId="1" xfId="7" applyFont="1" applyBorder="1" applyAlignment="1">
      <alignment horizontal="left"/>
    </xf>
    <xf numFmtId="0" fontId="36" fillId="0" borderId="0" xfId="7" applyFont="1"/>
    <xf numFmtId="0" fontId="35" fillId="0" borderId="1" xfId="7" applyFont="1" applyBorder="1"/>
    <xf numFmtId="49" fontId="36" fillId="0" borderId="1" xfId="7" applyNumberFormat="1" applyFont="1" applyBorder="1" applyAlignment="1">
      <alignment horizontal="left"/>
    </xf>
    <xf numFmtId="0" fontId="35" fillId="0" borderId="1" xfId="7" applyFont="1" applyBorder="1" applyAlignment="1">
      <alignment horizontal="center"/>
    </xf>
    <xf numFmtId="0" fontId="17" fillId="0" borderId="1" xfId="7" applyFont="1" applyBorder="1" applyAlignment="1">
      <alignment horizontal="center"/>
    </xf>
    <xf numFmtId="0" fontId="17" fillId="0" borderId="1" xfId="7" applyFont="1" applyBorder="1" applyAlignment="1">
      <alignment horizontal="center" wrapText="1"/>
    </xf>
    <xf numFmtId="0" fontId="36" fillId="0" borderId="1" xfId="7" applyFont="1" applyBorder="1"/>
    <xf numFmtId="0" fontId="37" fillId="9" borderId="1" xfId="7" applyFont="1" applyFill="1" applyBorder="1"/>
    <xf numFmtId="49" fontId="36" fillId="0" borderId="1" xfId="7" applyNumberFormat="1" applyFont="1" applyBorder="1"/>
    <xf numFmtId="169" fontId="36" fillId="0" borderId="1" xfId="7" applyNumberFormat="1" applyFont="1" applyBorder="1"/>
    <xf numFmtId="0" fontId="36" fillId="0" borderId="1" xfId="7" applyFont="1" applyBorder="1" applyAlignment="1">
      <alignment horizontal="right"/>
    </xf>
    <xf numFmtId="0" fontId="36" fillId="0" borderId="1" xfId="7" applyFont="1" applyBorder="1" applyAlignment="1">
      <alignment wrapText="1"/>
    </xf>
    <xf numFmtId="0" fontId="12" fillId="0" borderId="1" xfId="7" applyFont="1" applyBorder="1"/>
    <xf numFmtId="0" fontId="36" fillId="9" borderId="1" xfId="7" applyFont="1" applyFill="1" applyBorder="1"/>
    <xf numFmtId="0" fontId="3"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31" fillId="0" borderId="0" xfId="6" applyNumberFormat="1" applyFont="1" applyFill="1" applyBorder="1" applyProtection="1"/>
    <xf numFmtId="168" fontId="0" fillId="5" borderId="1" xfId="0" applyNumberFormat="1" applyFill="1" applyBorder="1" applyAlignment="1">
      <alignment horizontal="justify" vertical="top"/>
    </xf>
    <xf numFmtId="168" fontId="30" fillId="5" borderId="1" xfId="6" applyNumberFormat="1" applyFont="1" applyFill="1" applyBorder="1" applyAlignment="1" applyProtection="1">
      <alignment horizontal="center" vertical="top"/>
    </xf>
    <xf numFmtId="168" fontId="0" fillId="5" borderId="1" xfId="0" applyNumberFormat="1" applyFill="1" applyBorder="1" applyAlignment="1">
      <alignment horizontal="center" vertical="top" wrapText="1"/>
    </xf>
    <xf numFmtId="168" fontId="30" fillId="5" borderId="1" xfId="6" applyNumberFormat="1" applyFont="1" applyFill="1" applyBorder="1" applyAlignment="1" applyProtection="1">
      <alignment horizontal="center" vertical="top" wrapText="1"/>
    </xf>
    <xf numFmtId="168" fontId="0" fillId="5" borderId="5" xfId="0" applyNumberFormat="1" applyFill="1" applyBorder="1" applyAlignment="1">
      <alignment horizontal="justify" vertical="top" wrapText="1"/>
    </xf>
    <xf numFmtId="165" fontId="30" fillId="5" borderId="1" xfId="6" applyNumberFormat="1" applyFont="1" applyFill="1" applyBorder="1" applyAlignment="1" applyProtection="1">
      <alignment horizontal="center" vertical="top"/>
    </xf>
    <xf numFmtId="168" fontId="0" fillId="0" borderId="1" xfId="0" applyNumberFormat="1" applyBorder="1" applyAlignment="1">
      <alignment horizontal="center" vertical="top"/>
    </xf>
    <xf numFmtId="165" fontId="30" fillId="0" borderId="1" xfId="6" applyNumberFormat="1" applyFont="1" applyFill="1" applyBorder="1" applyAlignment="1" applyProtection="1">
      <alignment horizontal="center" vertical="top"/>
    </xf>
    <xf numFmtId="168" fontId="0" fillId="0" borderId="1" xfId="0" applyNumberFormat="1" applyBorder="1" applyAlignment="1">
      <alignment horizontal="justify" vertical="top"/>
    </xf>
    <xf numFmtId="168" fontId="0" fillId="0" borderId="1" xfId="0" applyNumberFormat="1" applyBorder="1" applyAlignment="1">
      <alignment horizontal="center" vertical="top" wrapText="1"/>
    </xf>
    <xf numFmtId="168" fontId="0" fillId="0" borderId="1" xfId="0" applyNumberFormat="1" applyBorder="1" applyAlignment="1">
      <alignment horizontal="justify" vertical="top" wrapText="1"/>
    </xf>
    <xf numFmtId="0" fontId="33" fillId="0" borderId="1" xfId="0" applyFont="1" applyBorder="1" applyAlignment="1">
      <alignment vertical="top" wrapText="1"/>
    </xf>
    <xf numFmtId="0" fontId="0" fillId="5" borderId="1" xfId="0" applyFill="1" applyBorder="1" applyAlignment="1">
      <alignment horizontal="left" vertical="top" wrapText="1"/>
    </xf>
    <xf numFmtId="0" fontId="32" fillId="0" borderId="1" xfId="0" applyFont="1" applyBorder="1"/>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168" fontId="18" fillId="0" borderId="8" xfId="6" applyNumberFormat="1" applyFont="1" applyBorder="1" applyAlignment="1" applyProtection="1">
      <alignment horizontal="justify" vertical="top" wrapText="1"/>
    </xf>
    <xf numFmtId="0" fontId="33"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6" fillId="0" borderId="1" xfId="0" applyFont="1" applyBorder="1" applyAlignment="1">
      <alignment vertical="top" wrapText="1"/>
    </xf>
    <xf numFmtId="168" fontId="0" fillId="5" borderId="0" xfId="0" applyNumberFormat="1" applyFill="1" applyAlignment="1">
      <alignment wrapText="1"/>
    </xf>
    <xf numFmtId="168" fontId="0" fillId="5" borderId="0" xfId="0" applyNumberFormat="1" applyFill="1" applyAlignment="1">
      <alignment horizontal="center"/>
    </xf>
    <xf numFmtId="0" fontId="0" fillId="5" borderId="0" xfId="0" applyFill="1" applyAlignment="1">
      <alignment horizontal="left"/>
    </xf>
    <xf numFmtId="0" fontId="0" fillId="5" borderId="0" xfId="0" applyFill="1"/>
    <xf numFmtId="37" fontId="46" fillId="0" borderId="8" xfId="13" applyNumberFormat="1" applyFont="1" applyBorder="1" applyProtection="1">
      <protection locked="0"/>
    </xf>
    <xf numFmtId="37" fontId="46" fillId="5" borderId="4" xfId="13" applyNumberFormat="1" applyFont="1" applyFill="1" applyBorder="1"/>
    <xf numFmtId="37" fontId="46" fillId="0" borderId="4" xfId="13" applyNumberFormat="1" applyFont="1" applyBorder="1" applyAlignment="1" applyProtection="1">
      <alignment horizontal="right"/>
      <protection locked="0"/>
    </xf>
    <xf numFmtId="37" fontId="46" fillId="0" borderId="9" xfId="13" applyNumberFormat="1" applyFont="1" applyBorder="1" applyAlignment="1" applyProtection="1">
      <alignment horizontal="right"/>
      <protection locked="0"/>
    </xf>
    <xf numFmtId="173" fontId="62" fillId="0" borderId="1" xfId="13" applyNumberFormat="1" applyBorder="1" applyProtection="1">
      <protection locked="0"/>
    </xf>
    <xf numFmtId="0" fontId="27" fillId="0" borderId="0" xfId="0" applyFont="1"/>
    <xf numFmtId="0" fontId="27"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27" fillId="2" borderId="0" xfId="0" applyNumberFormat="1" applyFont="1" applyFill="1"/>
    <xf numFmtId="37" fontId="0" fillId="2" borderId="0" xfId="0" applyNumberFormat="1" applyFill="1"/>
    <xf numFmtId="0" fontId="0" fillId="14" borderId="0" xfId="0" applyFill="1"/>
    <xf numFmtId="37" fontId="27" fillId="14" borderId="0" xfId="0" applyNumberFormat="1" applyFont="1" applyFill="1"/>
    <xf numFmtId="37" fontId="34"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0" fontId="0" fillId="16" borderId="0" xfId="0" applyFill="1"/>
    <xf numFmtId="37" fontId="0" fillId="16" borderId="0" xfId="0" applyNumberFormat="1" applyFill="1"/>
    <xf numFmtId="37" fontId="0" fillId="16" borderId="0" xfId="0" applyNumberFormat="1" applyFill="1" applyAlignment="1">
      <alignment horizontal="right"/>
    </xf>
    <xf numFmtId="0" fontId="0" fillId="16" borderId="0" xfId="0" applyFill="1" applyAlignment="1">
      <alignment horizontal="right"/>
    </xf>
    <xf numFmtId="0" fontId="0" fillId="2" borderId="0" xfId="0" applyFill="1" applyAlignment="1">
      <alignment horizontal="right"/>
    </xf>
    <xf numFmtId="0" fontId="0" fillId="17" borderId="0" xfId="0" applyFill="1"/>
    <xf numFmtId="37" fontId="0" fillId="17" borderId="0" xfId="0" applyNumberFormat="1" applyFill="1"/>
    <xf numFmtId="37" fontId="3" fillId="2" borderId="0" xfId="0" applyNumberFormat="1" applyFont="1" applyFill="1"/>
    <xf numFmtId="0" fontId="28" fillId="13" borderId="0" xfId="0" applyFont="1" applyFill="1"/>
    <xf numFmtId="37" fontId="28" fillId="13" borderId="0" xfId="0" applyNumberFormat="1" applyFont="1" applyFill="1"/>
    <xf numFmtId="0" fontId="28" fillId="13" borderId="0" xfId="0" applyFont="1" applyFill="1" applyAlignment="1">
      <alignment horizontal="left"/>
    </xf>
    <xf numFmtId="0" fontId="28" fillId="2" borderId="0" xfId="0" applyFont="1" applyFill="1"/>
    <xf numFmtId="37" fontId="48" fillId="0" borderId="18" xfId="0" applyNumberFormat="1" applyFont="1" applyBorder="1"/>
    <xf numFmtId="0" fontId="10" fillId="6" borderId="0" xfId="6" applyFont="1" applyFill="1" applyProtection="1"/>
    <xf numFmtId="37" fontId="46" fillId="0" borderId="9" xfId="13" applyNumberFormat="1" applyFont="1" applyBorder="1"/>
    <xf numFmtId="49" fontId="62" fillId="0" borderId="3" xfId="13" applyNumberFormat="1" applyBorder="1" applyAlignment="1">
      <alignment horizontal="center"/>
    </xf>
    <xf numFmtId="49" fontId="44" fillId="0" borderId="3" xfId="0" applyNumberFormat="1" applyFont="1" applyBorder="1" applyProtection="1">
      <protection locked="0"/>
    </xf>
    <xf numFmtId="37" fontId="48" fillId="0" borderId="10" xfId="0" applyNumberFormat="1" applyFont="1" applyBorder="1" applyProtection="1">
      <protection locked="0"/>
    </xf>
    <xf numFmtId="37" fontId="28" fillId="5" borderId="1" xfId="10" applyNumberFormat="1" applyFont="1" applyFill="1" applyBorder="1" applyProtection="1">
      <protection locked="0"/>
    </xf>
    <xf numFmtId="168" fontId="3" fillId="0" borderId="0" xfId="6" applyNumberFormat="1" applyFont="1" applyFill="1" applyAlignment="1" applyProtection="1">
      <alignment horizontal="left" vertical="top"/>
    </xf>
    <xf numFmtId="0" fontId="32" fillId="0" borderId="0" xfId="0" applyFont="1"/>
    <xf numFmtId="0" fontId="3" fillId="0" borderId="0" xfId="0" applyFont="1"/>
    <xf numFmtId="37" fontId="48" fillId="0" borderId="1" xfId="0" applyNumberFormat="1" applyFont="1" applyBorder="1"/>
    <xf numFmtId="37" fontId="0" fillId="0" borderId="1" xfId="0" applyNumberFormat="1" applyBorder="1"/>
    <xf numFmtId="37" fontId="48" fillId="4" borderId="1" xfId="0" applyNumberFormat="1" applyFont="1" applyFill="1" applyBorder="1"/>
    <xf numFmtId="10" fontId="48" fillId="4" borderId="1" xfId="0" applyNumberFormat="1" applyFont="1" applyFill="1" applyBorder="1"/>
    <xf numFmtId="37" fontId="48" fillId="0" borderId="15" xfId="0" applyNumberFormat="1" applyFont="1" applyBorder="1"/>
    <xf numFmtId="37" fontId="0" fillId="0" borderId="5" xfId="0" applyNumberFormat="1" applyBorder="1"/>
    <xf numFmtId="37" fontId="48" fillId="0" borderId="5" xfId="0" applyNumberFormat="1" applyFont="1" applyBorder="1"/>
    <xf numFmtId="37" fontId="48" fillId="4" borderId="5" xfId="0" applyNumberFormat="1" applyFont="1" applyFill="1" applyBorder="1"/>
    <xf numFmtId="37" fontId="0" fillId="4" borderId="21" xfId="0" applyNumberFormat="1" applyFill="1" applyBorder="1"/>
    <xf numFmtId="0" fontId="14" fillId="6" borderId="12" xfId="6" applyFont="1" applyFill="1" applyBorder="1" applyProtection="1"/>
    <xf numFmtId="0" fontId="14" fillId="6" borderId="7" xfId="6" applyFont="1" applyFill="1" applyBorder="1" applyProtection="1"/>
    <xf numFmtId="168" fontId="51" fillId="5" borderId="0" xfId="10" applyNumberFormat="1" applyFont="1" applyFill="1"/>
    <xf numFmtId="16" fontId="28" fillId="0" borderId="0" xfId="0" quotePrefix="1" applyNumberFormat="1" applyFont="1" applyAlignment="1">
      <alignment horizontal="right" vertical="top" wrapText="1"/>
    </xf>
    <xf numFmtId="0" fontId="0" fillId="0" borderId="0" xfId="0" quotePrefix="1" applyAlignment="1">
      <alignment horizontal="right" vertical="top"/>
    </xf>
    <xf numFmtId="168" fontId="3" fillId="0" borderId="0" xfId="6" applyNumberFormat="1" applyFont="1" applyFill="1" applyAlignment="1" applyProtection="1">
      <alignment vertical="top"/>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0" fillId="0" borderId="0" xfId="0" applyAlignment="1">
      <alignment horizontal="center"/>
    </xf>
    <xf numFmtId="0" fontId="3" fillId="0" borderId="0" xfId="0" applyFont="1" applyAlignment="1">
      <alignment horizontal="left"/>
    </xf>
    <xf numFmtId="49" fontId="0" fillId="0" borderId="3" xfId="0" applyNumberFormat="1"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3"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3" fillId="5" borderId="0" xfId="0" applyNumberFormat="1" applyFont="1" applyFill="1" applyAlignment="1">
      <alignment horizontal="center"/>
    </xf>
    <xf numFmtId="0" fontId="0" fillId="0" borderId="1" xfId="0" applyBorder="1" applyAlignment="1">
      <alignment horizontal="center"/>
    </xf>
    <xf numFmtId="0" fontId="28" fillId="0" borderId="9" xfId="10" applyFont="1" applyBorder="1" applyAlignment="1">
      <alignment horizontal="left"/>
    </xf>
    <xf numFmtId="0" fontId="28" fillId="0" borderId="4" xfId="10" applyFont="1" applyBorder="1" applyAlignment="1">
      <alignment horizontal="left"/>
    </xf>
    <xf numFmtId="168" fontId="28" fillId="5" borderId="0" xfId="10" applyNumberFormat="1" applyFont="1" applyFill="1" applyAlignment="1">
      <alignment horizontal="left"/>
    </xf>
    <xf numFmtId="0" fontId="28" fillId="0" borderId="3" xfId="10" applyFont="1" applyBorder="1" applyAlignment="1">
      <alignment horizontal="center"/>
    </xf>
    <xf numFmtId="0" fontId="62" fillId="0" borderId="3" xfId="13" applyBorder="1" applyAlignment="1">
      <alignment horizontal="center"/>
    </xf>
    <xf numFmtId="0" fontId="0" fillId="0" borderId="0" xfId="0" applyAlignment="1">
      <alignment horizontal="left" vertical="top" wrapText="1"/>
    </xf>
    <xf numFmtId="168" fontId="3" fillId="0" borderId="0" xfId="6" quotePrefix="1" applyNumberFormat="1" applyFont="1" applyFill="1" applyAlignment="1" applyProtection="1">
      <alignment horizontal="left" vertical="top"/>
    </xf>
    <xf numFmtId="168" fontId="0" fillId="0" borderId="10" xfId="0" applyNumberFormat="1" applyBorder="1" applyAlignment="1">
      <alignment horizontal="center" vertical="top" wrapText="1"/>
    </xf>
    <xf numFmtId="168" fontId="28" fillId="0" borderId="1" xfId="0" applyNumberFormat="1" applyFont="1" applyBorder="1" applyAlignment="1">
      <alignment horizontal="left" vertical="top" wrapText="1"/>
    </xf>
    <xf numFmtId="0" fontId="0" fillId="0" borderId="1" xfId="0" applyBorder="1" applyAlignment="1">
      <alignment vertical="top" wrapText="1"/>
    </xf>
    <xf numFmtId="168" fontId="0" fillId="0" borderId="10" xfId="0" applyNumberFormat="1" applyBorder="1" applyAlignment="1">
      <alignment horizontal="justify" vertical="top"/>
    </xf>
    <xf numFmtId="0" fontId="16" fillId="0" borderId="10" xfId="0" applyFont="1" applyBorder="1" applyAlignment="1">
      <alignment vertical="top" wrapText="1"/>
    </xf>
    <xf numFmtId="168" fontId="0" fillId="0" borderId="5" xfId="0" applyNumberFormat="1" applyBorder="1" applyAlignment="1">
      <alignment horizontal="justify" vertical="top"/>
    </xf>
    <xf numFmtId="0" fontId="16" fillId="0" borderId="5" xfId="0" applyFon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left" vertical="top" wrapText="1"/>
    </xf>
    <xf numFmtId="0" fontId="56" fillId="0" borderId="1" xfId="0" applyFont="1" applyBorder="1"/>
    <xf numFmtId="0" fontId="0" fillId="0" borderId="9" xfId="0" applyBorder="1" applyAlignment="1">
      <alignment horizontal="center" vertical="top" wrapText="1"/>
    </xf>
    <xf numFmtId="0" fontId="56" fillId="0" borderId="8" xfId="0" applyFont="1" applyBorder="1"/>
    <xf numFmtId="0" fontId="0" fillId="0" borderId="1" xfId="0" applyBorder="1" applyAlignment="1">
      <alignment horizontal="left" vertical="top"/>
    </xf>
    <xf numFmtId="0" fontId="0" fillId="0" borderId="1" xfId="0" applyBorder="1" applyAlignment="1">
      <alignment horizontal="left"/>
    </xf>
    <xf numFmtId="0" fontId="10" fillId="0" borderId="13" xfId="6" applyFont="1" applyFill="1" applyBorder="1" applyAlignment="1" applyProtection="1">
      <alignment horizontal="center" vertical="top"/>
    </xf>
    <xf numFmtId="0" fontId="50" fillId="0" borderId="1" xfId="0" applyFont="1" applyBorder="1" applyAlignment="1">
      <alignment horizontal="center" vertical="top" wrapText="1"/>
    </xf>
    <xf numFmtId="0" fontId="10" fillId="0" borderId="8" xfId="6" applyFont="1" applyFill="1" applyBorder="1" applyAlignment="1" applyProtection="1">
      <alignment horizontal="center" vertical="top"/>
    </xf>
    <xf numFmtId="0" fontId="10" fillId="0" borderId="0" xfId="6" applyFont="1" applyFill="1" applyAlignment="1" applyProtection="1">
      <alignment horizontal="center" vertical="top"/>
    </xf>
    <xf numFmtId="0" fontId="10" fillId="0" borderId="14" xfId="6" applyFont="1" applyFill="1" applyBorder="1" applyAlignment="1" applyProtection="1">
      <alignment horizontal="center" vertical="top"/>
    </xf>
    <xf numFmtId="0" fontId="10" fillId="0" borderId="15" xfId="6" applyFont="1" applyFill="1" applyBorder="1" applyAlignment="1" applyProtection="1">
      <alignment horizontal="center" vertical="top"/>
    </xf>
    <xf numFmtId="0" fontId="10" fillId="0" borderId="17" xfId="6" applyFont="1" applyFill="1" applyBorder="1" applyAlignment="1" applyProtection="1">
      <alignment horizontal="center" vertical="top"/>
    </xf>
    <xf numFmtId="37" fontId="48" fillId="4" borderId="15" xfId="0" applyNumberFormat="1" applyFont="1" applyFill="1" applyBorder="1"/>
    <xf numFmtId="0" fontId="51" fillId="0" borderId="0" xfId="0" applyFont="1" applyAlignment="1">
      <alignment vertical="center" wrapText="1"/>
    </xf>
    <xf numFmtId="0" fontId="51" fillId="0" borderId="0" xfId="0" applyFont="1" applyAlignment="1">
      <alignment horizontal="center" vertical="center" wrapText="1"/>
    </xf>
    <xf numFmtId="168" fontId="51" fillId="0" borderId="0" xfId="6" quotePrefix="1" applyNumberFormat="1" applyFont="1" applyFill="1" applyAlignment="1" applyProtection="1">
      <alignment vertical="top"/>
    </xf>
    <xf numFmtId="0" fontId="28" fillId="0" borderId="0" xfId="0" applyFont="1" applyAlignment="1">
      <alignment vertical="top" wrapText="1"/>
    </xf>
    <xf numFmtId="37" fontId="0" fillId="0" borderId="9" xfId="0" applyNumberFormat="1" applyBorder="1"/>
    <xf numFmtId="37" fontId="48" fillId="4" borderId="8" xfId="0" applyNumberFormat="1" applyFont="1" applyFill="1" applyBorder="1"/>
    <xf numFmtId="37" fontId="62" fillId="5" borderId="12" xfId="13" applyNumberFormat="1" applyFill="1" applyBorder="1"/>
    <xf numFmtId="49" fontId="0" fillId="0" borderId="1" xfId="0" applyNumberFormat="1" applyBorder="1" applyAlignment="1" applyProtection="1">
      <alignment horizontal="center" vertical="center" wrapText="1"/>
      <protection locked="0"/>
    </xf>
    <xf numFmtId="0" fontId="59" fillId="0" borderId="0" xfId="0" applyFont="1" applyAlignment="1" applyProtection="1">
      <alignment vertical="center"/>
      <protection locked="0"/>
    </xf>
    <xf numFmtId="0" fontId="0" fillId="0" borderId="0" xfId="0" applyAlignment="1">
      <alignment horizontal="center" vertical="center"/>
    </xf>
    <xf numFmtId="0" fontId="0" fillId="18" borderId="1" xfId="0" applyFill="1" applyBorder="1" applyAlignment="1">
      <alignment vertical="top" wrapText="1"/>
    </xf>
    <xf numFmtId="9" fontId="62" fillId="0" borderId="0" xfId="13" applyNumberFormat="1"/>
    <xf numFmtId="0" fontId="0" fillId="0" borderId="1" xfId="0" applyBorder="1" applyProtection="1">
      <protection locked="0"/>
    </xf>
    <xf numFmtId="42" fontId="62" fillId="5" borderId="0" xfId="13" applyNumberFormat="1" applyFill="1"/>
    <xf numFmtId="37" fontId="62" fillId="0" borderId="1" xfId="13" applyNumberFormat="1" applyBorder="1"/>
    <xf numFmtId="0" fontId="0" fillId="0" borderId="1" xfId="0" applyBorder="1" applyAlignment="1" applyProtection="1">
      <alignment vertical="top"/>
      <protection locked="0"/>
    </xf>
    <xf numFmtId="37" fontId="0" fillId="4" borderId="1" xfId="0" applyNumberFormat="1" applyFill="1" applyBorder="1"/>
    <xf numFmtId="49" fontId="0" fillId="0" borderId="0" xfId="0" applyNumberFormat="1" applyAlignment="1">
      <alignment horizontal="center"/>
    </xf>
    <xf numFmtId="0" fontId="30" fillId="6" borderId="10" xfId="6" applyFont="1" applyFill="1" applyBorder="1" applyAlignment="1" applyProtection="1">
      <alignment horizontal="center"/>
    </xf>
    <xf numFmtId="0" fontId="30" fillId="6" borderId="15" xfId="6" applyFont="1" applyFill="1" applyBorder="1" applyAlignment="1" applyProtection="1">
      <alignment horizontal="center"/>
    </xf>
    <xf numFmtId="0" fontId="30" fillId="6" borderId="5" xfId="6" applyFont="1" applyFill="1" applyBorder="1" applyAlignment="1" applyProtection="1">
      <alignment horizontal="center"/>
    </xf>
    <xf numFmtId="168" fontId="0" fillId="5" borderId="0" xfId="10" applyNumberFormat="1" applyFont="1" applyFill="1" applyAlignment="1">
      <alignment horizontal="right"/>
    </xf>
    <xf numFmtId="0" fontId="3" fillId="0" borderId="8" xfId="12" applyNumberFormat="1" applyFont="1" applyFill="1" applyBorder="1" applyAlignment="1" applyProtection="1">
      <alignment horizontal="center" vertical="center" wrapText="1"/>
    </xf>
    <xf numFmtId="0" fontId="0" fillId="0" borderId="0" xfId="0" quotePrefix="1" applyAlignment="1">
      <alignment horizontal="left" vertical="top"/>
    </xf>
    <xf numFmtId="0" fontId="61" fillId="0" borderId="9" xfId="6" applyFont="1" applyFill="1" applyBorder="1" applyAlignment="1" applyProtection="1">
      <alignment horizontal="left"/>
    </xf>
    <xf numFmtId="37" fontId="63" fillId="0" borderId="1" xfId="0" applyNumberFormat="1" applyFont="1" applyBorder="1"/>
    <xf numFmtId="168" fontId="63" fillId="0" borderId="1" xfId="0" applyNumberFormat="1" applyFont="1" applyBorder="1" applyAlignment="1">
      <alignment horizontal="justify" vertical="top" wrapText="1"/>
    </xf>
    <xf numFmtId="168" fontId="63" fillId="0" borderId="1" xfId="0" applyNumberFormat="1" applyFont="1" applyBorder="1" applyAlignment="1">
      <alignment horizontal="justify" vertical="top"/>
    </xf>
    <xf numFmtId="168" fontId="63" fillId="0" borderId="1" xfId="0" applyNumberFormat="1" applyFont="1" applyBorder="1" applyAlignment="1">
      <alignment horizontal="left" vertical="top" wrapText="1"/>
    </xf>
    <xf numFmtId="0" fontId="63" fillId="18" borderId="1" xfId="0" applyFont="1" applyFill="1" applyBorder="1" applyAlignment="1">
      <alignment vertical="top" wrapText="1"/>
    </xf>
    <xf numFmtId="14" fontId="44" fillId="0" borderId="3" xfId="0" applyNumberFormat="1" applyFont="1" applyBorder="1" applyProtection="1">
      <protection locked="0"/>
    </xf>
    <xf numFmtId="0" fontId="64" fillId="0" borderId="0" xfId="0" applyFont="1" applyAlignment="1">
      <alignment horizontal="left" wrapText="1"/>
    </xf>
    <xf numFmtId="174" fontId="65" fillId="0" borderId="0" xfId="0" applyNumberFormat="1" applyFont="1" applyAlignment="1">
      <alignment wrapText="1"/>
    </xf>
    <xf numFmtId="174" fontId="65" fillId="0" borderId="0" xfId="0" applyNumberFormat="1" applyFont="1" applyAlignment="1">
      <alignment horizontal="right" wrapText="1"/>
    </xf>
    <xf numFmtId="175" fontId="64" fillId="0" borderId="7" xfId="0" applyNumberFormat="1" applyFont="1" applyBorder="1" applyAlignment="1">
      <alignment horizontal="right" wrapText="1"/>
    </xf>
    <xf numFmtId="0" fontId="0" fillId="0" borderId="0" xfId="0" applyAlignment="1">
      <alignment horizontal="center" wrapText="1"/>
    </xf>
    <xf numFmtId="0" fontId="0" fillId="0" borderId="3" xfId="0" applyBorder="1"/>
    <xf numFmtId="0" fontId="0" fillId="0" borderId="7" xfId="0" applyBorder="1" applyAlignment="1">
      <alignment horizontal="center" vertical="top"/>
    </xf>
    <xf numFmtId="0" fontId="6" fillId="0" borderId="3" xfId="15" applyFill="1" applyBorder="1" applyAlignment="1" applyProtection="1">
      <alignment horizontal="center"/>
      <protection locked="0"/>
    </xf>
    <xf numFmtId="0" fontId="63" fillId="0" borderId="3" xfId="16" applyBorder="1" applyAlignment="1" applyProtection="1">
      <alignment horizontal="center"/>
      <protection locked="0"/>
    </xf>
    <xf numFmtId="0" fontId="0" fillId="0" borderId="0" xfId="0" applyAlignment="1">
      <alignment horizontal="center" vertical="top"/>
    </xf>
    <xf numFmtId="37" fontId="48" fillId="4" borderId="3" xfId="0" applyNumberFormat="1" applyFont="1" applyFill="1" applyBorder="1"/>
    <xf numFmtId="0" fontId="0" fillId="0" borderId="0" xfId="0"/>
    <xf numFmtId="0" fontId="0" fillId="0" borderId="0" xfId="0" applyAlignment="1">
      <alignment horizontal="justify" wrapText="1"/>
    </xf>
    <xf numFmtId="0" fontId="44" fillId="0" borderId="0" xfId="0" applyFont="1" applyProtection="1">
      <protection locked="0"/>
    </xf>
    <xf numFmtId="0" fontId="0" fillId="0" borderId="3" xfId="0" applyBorder="1" applyProtection="1">
      <protection locked="0"/>
    </xf>
    <xf numFmtId="0" fontId="44" fillId="0" borderId="3" xfId="0" applyFont="1" applyBorder="1" applyProtection="1">
      <protection locked="0"/>
    </xf>
    <xf numFmtId="0" fontId="0" fillId="0" borderId="3" xfId="0" applyBorder="1" applyAlignment="1" applyProtection="1">
      <alignment horizontal="center"/>
      <protection locked="0"/>
    </xf>
    <xf numFmtId="0" fontId="0" fillId="0" borderId="7" xfId="0" applyBorder="1" applyAlignment="1">
      <alignment horizontal="center"/>
    </xf>
    <xf numFmtId="0" fontId="0" fillId="0" borderId="0" xfId="0" applyAlignment="1">
      <alignment horizontal="center"/>
    </xf>
    <xf numFmtId="0" fontId="32" fillId="4" borderId="0" xfId="0" applyFont="1" applyFill="1" applyAlignment="1">
      <alignment horizontal="left" vertical="center" wrapText="1"/>
    </xf>
    <xf numFmtId="0" fontId="32" fillId="4" borderId="14" xfId="0" applyFont="1" applyFill="1" applyBorder="1" applyAlignment="1">
      <alignment horizontal="left" vertical="center" wrapText="1"/>
    </xf>
    <xf numFmtId="0" fontId="3" fillId="0" borderId="0" xfId="0" applyFont="1" applyAlignment="1">
      <alignment horizontal="left"/>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44" fillId="4" borderId="0" xfId="0" applyFont="1" applyFill="1"/>
    <xf numFmtId="0" fontId="32" fillId="4" borderId="0" xfId="0" applyFont="1" applyFill="1" applyAlignment="1">
      <alignment horizontal="left" vertical="top" wrapText="1"/>
    </xf>
    <xf numFmtId="0" fontId="19" fillId="4" borderId="0" xfId="0" applyFont="1" applyFill="1" applyAlignment="1">
      <alignment vertical="top" wrapText="1"/>
    </xf>
    <xf numFmtId="0" fontId="7"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0" fontId="3" fillId="0" borderId="0" xfId="0" applyFont="1"/>
    <xf numFmtId="49" fontId="44" fillId="4" borderId="3" xfId="0" applyNumberFormat="1" applyFont="1" applyFill="1" applyBorder="1" applyProtection="1">
      <protection locked="0"/>
    </xf>
    <xf numFmtId="49" fontId="0" fillId="4" borderId="3" xfId="0" applyNumberFormat="1" applyFill="1" applyBorder="1" applyProtection="1">
      <protection locked="0"/>
    </xf>
    <xf numFmtId="49" fontId="0" fillId="0" borderId="3" xfId="0" applyNumberFormat="1" applyBorder="1" applyAlignment="1">
      <alignment horizontal="center"/>
    </xf>
    <xf numFmtId="0" fontId="0" fillId="0" borderId="3" xfId="0" applyBorder="1" applyAlignment="1">
      <alignment horizontal="center"/>
    </xf>
    <xf numFmtId="0" fontId="20" fillId="0" borderId="1" xfId="0" applyFont="1" applyBorder="1" applyAlignment="1">
      <alignment horizontal="center" wrapText="1"/>
    </xf>
    <xf numFmtId="6" fontId="20" fillId="0" borderId="1" xfId="0" applyNumberFormat="1" applyFont="1" applyBorder="1" applyAlignment="1">
      <alignment horizontal="center"/>
    </xf>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48" fillId="0" borderId="10" xfId="0" applyNumberFormat="1" applyFont="1" applyBorder="1" applyAlignment="1">
      <alignment horizontal="right"/>
    </xf>
    <xf numFmtId="37" fontId="48" fillId="0" borderId="5" xfId="0" applyNumberFormat="1" applyFont="1" applyBorder="1" applyAlignment="1">
      <alignment horizontal="right"/>
    </xf>
    <xf numFmtId="0" fontId="0" fillId="0" borderId="0" xfId="0" applyAlignment="1">
      <alignment horizontal="left" wrapText="1"/>
    </xf>
    <xf numFmtId="10" fontId="48" fillId="4" borderId="15" xfId="0" applyNumberFormat="1" applyFont="1" applyFill="1" applyBorder="1"/>
    <xf numFmtId="10" fontId="0" fillId="4" borderId="5" xfId="0" applyNumberFormat="1" applyFill="1" applyBorder="1"/>
    <xf numFmtId="10" fontId="48"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9" xfId="9" applyFont="1" applyBorder="1" applyAlignment="1">
      <alignment horizontal="center"/>
    </xf>
    <xf numFmtId="0" fontId="0" fillId="0" borderId="8" xfId="9" applyFont="1" applyBorder="1" applyAlignment="1">
      <alignment horizontal="center"/>
    </xf>
    <xf numFmtId="0" fontId="23" fillId="0" borderId="0" xfId="0" applyFont="1" applyAlignment="1">
      <alignment horizontal="left" vertical="center" wrapText="1"/>
    </xf>
    <xf numFmtId="0" fontId="22" fillId="6" borderId="3" xfId="6" applyFont="1" applyFill="1" applyBorder="1" applyProtection="1"/>
    <xf numFmtId="0" fontId="3" fillId="0" borderId="3" xfId="0" applyFont="1" applyBorder="1" applyAlignment="1">
      <alignment horizontal="center"/>
    </xf>
    <xf numFmtId="0" fontId="3" fillId="0" borderId="0" xfId="0" applyFont="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0" fontId="0" fillId="0" borderId="4" xfId="0" applyBorder="1" applyAlignment="1">
      <alignment horizontal="center"/>
    </xf>
    <xf numFmtId="37" fontId="48" fillId="0" borderId="5" xfId="0" applyNumberFormat="1" applyFont="1" applyBorder="1"/>
    <xf numFmtId="37" fontId="0" fillId="0" borderId="1" xfId="0" applyNumberFormat="1" applyBorder="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6" xfId="0" applyNumberFormat="1" applyFill="1" applyBorder="1" applyAlignment="1">
      <alignment horizontal="center"/>
    </xf>
    <xf numFmtId="37" fontId="0" fillId="9" borderId="1" xfId="0" applyNumberFormat="1" applyFill="1" applyBorder="1" applyAlignment="1">
      <alignment horizontal="center"/>
    </xf>
    <xf numFmtId="37" fontId="48"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0" fontId="4" fillId="0" borderId="12" xfId="0" applyFont="1" applyBorder="1" applyAlignment="1">
      <alignment horizontal="center" wrapText="1"/>
    </xf>
    <xf numFmtId="0" fontId="4" fillId="0" borderId="13" xfId="0" applyFont="1" applyBorder="1" applyAlignment="1">
      <alignment horizontal="center"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4" fillId="0" borderId="2" xfId="0" applyFont="1" applyBorder="1" applyAlignment="1">
      <alignment horizontal="center" wrapText="1"/>
    </xf>
    <xf numFmtId="0" fontId="4" fillId="0" borderId="0" xfId="0" applyFont="1" applyAlignment="1">
      <alignment horizontal="center" wrapText="1"/>
    </xf>
    <xf numFmtId="0" fontId="4" fillId="0" borderId="14"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center" wrapText="1"/>
    </xf>
    <xf numFmtId="0" fontId="4" fillId="0" borderId="17" xfId="0" applyFont="1" applyBorder="1" applyAlignment="1">
      <alignment horizontal="center" wrapText="1"/>
    </xf>
    <xf numFmtId="49" fontId="30" fillId="6" borderId="0" xfId="6" applyNumberFormat="1" applyFont="1" applyFill="1" applyBorder="1" applyAlignment="1" applyProtection="1">
      <alignment horizontal="left" vertical="top" wrapText="1"/>
    </xf>
    <xf numFmtId="0" fontId="4" fillId="0" borderId="7" xfId="0" applyFont="1" applyBorder="1" applyAlignment="1">
      <alignment horizontal="center" wrapText="1"/>
    </xf>
    <xf numFmtId="0" fontId="30" fillId="6" borderId="0" xfId="6" applyFont="1" applyFill="1" applyAlignment="1" applyProtection="1">
      <alignment wrapText="1"/>
    </xf>
    <xf numFmtId="0" fontId="30" fillId="6" borderId="0" xfId="6" applyFont="1" applyFill="1" applyBorder="1" applyAlignment="1" applyProtection="1">
      <alignment wrapText="1"/>
    </xf>
    <xf numFmtId="0" fontId="30" fillId="6" borderId="0" xfId="6" applyFont="1" applyFill="1" applyAlignment="1" applyProtection="1">
      <alignment horizontal="left" vertical="top" wrapText="1"/>
    </xf>
    <xf numFmtId="49" fontId="48"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37" fontId="48" fillId="4" borderId="5" xfId="0" applyNumberFormat="1" applyFont="1" applyFill="1" applyBorder="1"/>
    <xf numFmtId="37" fontId="0" fillId="4" borderId="21" xfId="0" applyNumberFormat="1" applyFill="1" applyBorder="1"/>
    <xf numFmtId="0" fontId="30" fillId="6" borderId="0" xfId="6" applyFont="1" applyFill="1" applyAlignment="1" applyProtection="1">
      <alignment horizontal="left"/>
    </xf>
    <xf numFmtId="0" fontId="0" fillId="0" borderId="0" xfId="6" applyFont="1" applyFill="1" applyBorder="1" applyAlignment="1" applyProtection="1">
      <alignment horizontal="left" wrapText="1"/>
    </xf>
    <xf numFmtId="0" fontId="30" fillId="6" borderId="0" xfId="6" applyFont="1" applyFill="1" applyAlignment="1" applyProtection="1">
      <alignment vertical="top" wrapText="1"/>
    </xf>
    <xf numFmtId="37" fontId="48" fillId="0" borderId="10" xfId="0" applyNumberFormat="1" applyFont="1" applyBorder="1" applyAlignment="1">
      <alignment vertical="center"/>
    </xf>
    <xf numFmtId="37" fontId="0" fillId="0" borderId="33" xfId="0" applyNumberFormat="1" applyBorder="1" applyAlignment="1">
      <alignment horizontal="right" vertical="center"/>
    </xf>
    <xf numFmtId="0" fontId="10" fillId="6" borderId="0" xfId="6" applyFont="1" applyFill="1" applyAlignment="1" applyProtection="1">
      <alignment horizontal="left" vertical="center" wrapText="1"/>
    </xf>
    <xf numFmtId="0" fontId="10" fillId="6" borderId="0" xfId="6" applyFont="1" applyFill="1" applyBorder="1" applyAlignment="1" applyProtection="1">
      <alignment horizontal="left" vertical="center" wrapText="1"/>
    </xf>
    <xf numFmtId="37" fontId="48"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0" fontId="30" fillId="6" borderId="0" xfId="6" applyFont="1" applyFill="1" applyAlignment="1" applyProtection="1">
      <alignment horizontal="center"/>
    </xf>
    <xf numFmtId="0" fontId="30"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3" fillId="5" borderId="0" xfId="0" applyNumberFormat="1" applyFont="1" applyFill="1" applyAlignment="1">
      <alignment horizontal="center"/>
    </xf>
    <xf numFmtId="0" fontId="0" fillId="0" borderId="1" xfId="0" applyBorder="1" applyAlignment="1">
      <alignment horizontal="center"/>
    </xf>
    <xf numFmtId="168" fontId="28" fillId="5" borderId="0" xfId="0" applyNumberFormat="1" applyFont="1" applyFill="1" applyAlignment="1">
      <alignment horizontal="left"/>
    </xf>
    <xf numFmtId="168" fontId="28" fillId="5" borderId="14" xfId="0" applyNumberFormat="1" applyFont="1" applyFill="1" applyBorder="1" applyAlignment="1">
      <alignment horizontal="left"/>
    </xf>
    <xf numFmtId="168" fontId="0" fillId="5" borderId="0" xfId="0" applyNumberFormat="1" applyFill="1" applyAlignment="1">
      <alignment horizontal="left"/>
    </xf>
    <xf numFmtId="0" fontId="0" fillId="0" borderId="0" xfId="0" quotePrefix="1" applyAlignment="1">
      <alignment horizontal="left"/>
    </xf>
    <xf numFmtId="168" fontId="0" fillId="5" borderId="14" xfId="0" applyNumberFormat="1" applyFill="1" applyBorder="1" applyAlignment="1">
      <alignment horizontal="left"/>
    </xf>
    <xf numFmtId="0" fontId="28" fillId="0" borderId="3" xfId="10" applyFont="1" applyBorder="1" applyAlignment="1">
      <alignment horizontal="center"/>
    </xf>
    <xf numFmtId="168" fontId="14" fillId="6" borderId="10" xfId="12" applyNumberFormat="1" applyFont="1" applyFill="1" applyBorder="1" applyAlignment="1" applyProtection="1">
      <alignment horizontal="center" wrapText="1"/>
    </xf>
    <xf numFmtId="168" fontId="14" fillId="6" borderId="5" xfId="12" applyNumberFormat="1" applyFont="1" applyFill="1" applyBorder="1" applyAlignment="1" applyProtection="1">
      <alignment horizontal="center" wrapText="1"/>
    </xf>
    <xf numFmtId="168" fontId="42" fillId="0" borderId="7" xfId="12" applyNumberFormat="1" applyFont="1" applyFill="1" applyBorder="1" applyAlignment="1" applyProtection="1">
      <alignment horizontal="left" vertical="top"/>
    </xf>
    <xf numFmtId="168" fontId="42" fillId="0" borderId="0" xfId="12" applyNumberFormat="1" applyFont="1" applyFill="1" applyBorder="1" applyAlignment="1" applyProtection="1">
      <alignment horizontal="left" vertical="top"/>
    </xf>
    <xf numFmtId="0" fontId="51" fillId="0" borderId="9" xfId="10" applyFont="1" applyBorder="1" applyAlignment="1">
      <alignment horizontal="center"/>
    </xf>
    <xf numFmtId="0" fontId="51" fillId="0" borderId="4" xfId="10" applyFont="1" applyBorder="1" applyAlignment="1">
      <alignment horizontal="center"/>
    </xf>
    <xf numFmtId="0" fontId="51" fillId="0" borderId="8" xfId="10" applyFont="1" applyBorder="1" applyAlignment="1">
      <alignment horizontal="center"/>
    </xf>
    <xf numFmtId="168" fontId="28" fillId="5" borderId="10" xfId="10" applyNumberFormat="1" applyFont="1" applyFill="1" applyBorder="1" applyAlignment="1">
      <alignment horizontal="center" vertical="center"/>
    </xf>
    <xf numFmtId="168" fontId="28" fillId="5" borderId="15" xfId="10" applyNumberFormat="1" applyFont="1" applyFill="1" applyBorder="1" applyAlignment="1">
      <alignment horizontal="center" vertical="center"/>
    </xf>
    <xf numFmtId="168" fontId="28" fillId="5" borderId="5" xfId="10" applyNumberFormat="1" applyFont="1" applyFill="1" applyBorder="1" applyAlignment="1">
      <alignment horizontal="center" vertical="center"/>
    </xf>
    <xf numFmtId="168" fontId="51" fillId="5" borderId="0" xfId="10" applyNumberFormat="1" applyFont="1" applyFill="1"/>
    <xf numFmtId="168" fontId="51" fillId="5" borderId="14" xfId="10" applyNumberFormat="1" applyFont="1" applyFill="1" applyBorder="1"/>
    <xf numFmtId="168" fontId="51" fillId="5" borderId="3" xfId="10" applyNumberFormat="1" applyFont="1" applyFill="1" applyBorder="1"/>
    <xf numFmtId="168" fontId="51" fillId="5" borderId="17" xfId="10" applyNumberFormat="1" applyFont="1" applyFill="1" applyBorder="1"/>
    <xf numFmtId="168" fontId="32" fillId="0" borderId="0" xfId="10" applyNumberFormat="1" applyFont="1" applyAlignment="1">
      <alignment horizontal="center" wrapText="1"/>
    </xf>
    <xf numFmtId="0" fontId="28" fillId="0" borderId="9" xfId="10" applyFont="1" applyBorder="1" applyAlignment="1">
      <alignment horizontal="left"/>
    </xf>
    <xf numFmtId="0" fontId="28" fillId="0" borderId="4" xfId="10" applyFont="1" applyBorder="1" applyAlignment="1">
      <alignment horizontal="left"/>
    </xf>
    <xf numFmtId="0" fontId="28" fillId="0" borderId="8" xfId="10" applyFont="1" applyBorder="1" applyAlignment="1">
      <alignment horizontal="left"/>
    </xf>
    <xf numFmtId="168" fontId="32" fillId="0" borderId="0" xfId="10" applyNumberFormat="1" applyFont="1" applyAlignment="1">
      <alignment horizontal="center" vertical="center" wrapText="1"/>
    </xf>
    <xf numFmtId="168" fontId="32" fillId="0" borderId="0" xfId="10" quotePrefix="1" applyNumberFormat="1" applyFont="1" applyAlignment="1">
      <alignment horizontal="center" vertical="center" wrapText="1"/>
    </xf>
    <xf numFmtId="0" fontId="14" fillId="6" borderId="9" xfId="6" applyFont="1" applyFill="1" applyBorder="1" applyProtection="1"/>
    <xf numFmtId="0" fontId="14" fillId="6" borderId="4" xfId="6" applyFont="1" applyFill="1" applyBorder="1" applyProtection="1"/>
    <xf numFmtId="0" fontId="14" fillId="6" borderId="8" xfId="6" applyFont="1" applyFill="1" applyBorder="1" applyProtection="1"/>
    <xf numFmtId="168" fontId="28"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4" fillId="6" borderId="12" xfId="6" applyFont="1" applyFill="1" applyBorder="1" applyProtection="1"/>
    <xf numFmtId="0" fontId="14" fillId="6" borderId="7" xfId="6" applyFont="1" applyFill="1" applyBorder="1" applyProtection="1"/>
    <xf numFmtId="0" fontId="14" fillId="6" borderId="13" xfId="6" applyFont="1" applyFill="1" applyBorder="1" applyProtection="1"/>
    <xf numFmtId="0" fontId="14" fillId="6" borderId="16" xfId="6" applyFont="1" applyFill="1" applyBorder="1" applyProtection="1"/>
    <xf numFmtId="0" fontId="14" fillId="6" borderId="3" xfId="6" applyFont="1" applyFill="1" applyBorder="1" applyProtection="1"/>
    <xf numFmtId="0" fontId="14" fillId="6" borderId="17" xfId="6" applyFont="1" applyFill="1" applyBorder="1" applyProtection="1"/>
    <xf numFmtId="0" fontId="28" fillId="0" borderId="9" xfId="0" applyFont="1" applyBorder="1"/>
    <xf numFmtId="0" fontId="28" fillId="0" borderId="4" xfId="0" applyFont="1" applyBorder="1"/>
    <xf numFmtId="0" fontId="28" fillId="0" borderId="8" xfId="0" applyFont="1" applyBorder="1"/>
    <xf numFmtId="38" fontId="46" fillId="0" borderId="24" xfId="13" applyNumberFormat="1" applyFont="1" applyBorder="1" applyAlignment="1">
      <alignment horizontal="center" wrapText="1"/>
    </xf>
    <xf numFmtId="38" fontId="46" fillId="0" borderId="15" xfId="13" applyNumberFormat="1" applyFont="1" applyBorder="1" applyAlignment="1">
      <alignment horizontal="center" wrapText="1"/>
    </xf>
    <xf numFmtId="38" fontId="46" fillId="0" borderId="10" xfId="13" applyNumberFormat="1" applyFont="1" applyBorder="1" applyAlignment="1">
      <alignment horizontal="center" wrapText="1"/>
    </xf>
    <xf numFmtId="0" fontId="62" fillId="0" borderId="3" xfId="13" applyBorder="1" applyAlignment="1">
      <alignment horizontal="center"/>
    </xf>
    <xf numFmtId="37" fontId="46" fillId="0" borderId="22" xfId="13" applyNumberFormat="1" applyFont="1" applyBorder="1" applyAlignment="1">
      <alignment horizontal="center" wrapText="1"/>
    </xf>
    <xf numFmtId="37" fontId="46" fillId="0" borderId="25" xfId="13" applyNumberFormat="1" applyFont="1" applyBorder="1" applyAlignment="1">
      <alignment horizontal="center" wrapText="1"/>
    </xf>
    <xf numFmtId="37" fontId="46" fillId="0" borderId="27" xfId="13" applyNumberFormat="1" applyFont="1" applyBorder="1" applyAlignment="1">
      <alignment horizontal="center" wrapText="1"/>
    </xf>
    <xf numFmtId="168" fontId="53"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3" fillId="0" borderId="0" xfId="8" applyNumberFormat="1" applyFont="1" applyAlignment="1">
      <alignment horizontal="left" wrapText="1"/>
    </xf>
    <xf numFmtId="0" fontId="0" fillId="0" borderId="0" xfId="0" quotePrefix="1" applyAlignment="1">
      <alignment horizontal="right" vertical="top"/>
    </xf>
    <xf numFmtId="0" fontId="51" fillId="0" borderId="0" xfId="0" applyFont="1"/>
    <xf numFmtId="0" fontId="51" fillId="0" borderId="0" xfId="0" applyFont="1" applyAlignment="1">
      <alignmen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3" fillId="0" borderId="9" xfId="0" applyFont="1" applyBorder="1" applyAlignment="1">
      <alignment horizontal="left" wrapText="1"/>
    </xf>
    <xf numFmtId="0" fontId="3" fillId="0" borderId="4" xfId="0" applyFont="1" applyBorder="1" applyAlignment="1">
      <alignment horizontal="left" wrapText="1"/>
    </xf>
    <xf numFmtId="0" fontId="3" fillId="0" borderId="8" xfId="0" applyFont="1" applyBorder="1" applyAlignment="1">
      <alignment horizontal="left" wrapText="1"/>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55" fillId="0" borderId="9" xfId="7" applyFont="1" applyBorder="1" applyAlignment="1">
      <alignment horizontal="center"/>
    </xf>
    <xf numFmtId="0" fontId="55" fillId="0" borderId="4" xfId="7" applyFont="1" applyBorder="1" applyAlignment="1">
      <alignment horizontal="center"/>
    </xf>
    <xf numFmtId="0" fontId="55" fillId="0" borderId="8" xfId="7" applyFont="1" applyBorder="1" applyAlignment="1">
      <alignment horizontal="center"/>
    </xf>
    <xf numFmtId="168" fontId="10" fillId="5" borderId="12" xfId="6" applyNumberFormat="1" applyFont="1" applyFill="1" applyBorder="1" applyAlignment="1" applyProtection="1">
      <alignment horizontal="center" vertical="center"/>
    </xf>
    <xf numFmtId="168" fontId="10" fillId="5" borderId="13" xfId="6" applyNumberFormat="1" applyFont="1" applyFill="1" applyBorder="1" applyAlignment="1" applyProtection="1">
      <alignment horizontal="center" vertical="center"/>
    </xf>
    <xf numFmtId="168" fontId="10" fillId="5" borderId="2" xfId="6" applyNumberFormat="1" applyFont="1" applyFill="1" applyBorder="1" applyAlignment="1" applyProtection="1">
      <alignment horizontal="center" vertical="center"/>
    </xf>
    <xf numFmtId="168" fontId="10" fillId="5" borderId="14" xfId="6" applyNumberFormat="1" applyFont="1" applyFill="1" applyBorder="1" applyAlignment="1" applyProtection="1">
      <alignment horizontal="center" vertical="center"/>
    </xf>
    <xf numFmtId="168" fontId="10" fillId="5" borderId="16" xfId="6" applyNumberFormat="1" applyFont="1" applyFill="1" applyBorder="1" applyAlignment="1" applyProtection="1">
      <alignment horizontal="center" vertical="center"/>
    </xf>
    <xf numFmtId="168" fontId="10" fillId="5" borderId="17" xfId="6" applyNumberFormat="1" applyFont="1" applyFill="1" applyBorder="1" applyAlignment="1" applyProtection="1">
      <alignment horizontal="center" vertical="center"/>
    </xf>
    <xf numFmtId="168" fontId="30" fillId="5" borderId="10" xfId="6" applyNumberFormat="1" applyFont="1" applyFill="1" applyBorder="1" applyAlignment="1" applyProtection="1">
      <alignment horizontal="center" vertical="top" wrapText="1"/>
    </xf>
    <xf numFmtId="168" fontId="30"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0" fillId="0" borderId="13" xfId="6" applyFont="1" applyFill="1" applyBorder="1" applyAlignment="1" applyProtection="1">
      <alignment horizontal="center" vertical="top"/>
    </xf>
    <xf numFmtId="0" fontId="10"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xf numFmtId="0" fontId="6" fillId="0" borderId="3" xfId="15" applyFill="1" applyBorder="1" applyAlignment="1" applyProtection="1">
      <alignment horizontal="left"/>
      <protection locked="0"/>
    </xf>
    <xf numFmtId="0" fontId="63" fillId="0" borderId="3" xfId="16" applyBorder="1" applyAlignment="1" applyProtection="1">
      <alignment horizontal="left"/>
      <protection locked="0"/>
    </xf>
    <xf numFmtId="0" fontId="0" fillId="0" borderId="12"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6" xfId="0" applyBorder="1" applyAlignment="1" applyProtection="1">
      <alignment horizontal="left" wrapText="1"/>
      <protection locked="0"/>
    </xf>
    <xf numFmtId="0" fontId="0" fillId="0" borderId="3" xfId="0" applyBorder="1" applyAlignment="1" applyProtection="1">
      <alignment horizontal="left" wrapText="1"/>
      <protection locked="0"/>
    </xf>
    <xf numFmtId="37" fontId="48" fillId="0" borderId="1" xfId="0" applyNumberFormat="1" applyFont="1" applyFill="1" applyBorder="1"/>
  </cellXfs>
  <cellStyles count="1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Hyperlink 4" xfId="15" xr:uid="{6DF8ACFB-75C9-4524-B01E-EFB693DDFDD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 6" xfId="16" xr:uid="{1A251458-93B7-42EE-B9E9-A3339D0A46FA}"/>
    <cellStyle name="Normal_budget03" xfId="9" xr:uid="{00000000-0005-0000-0000-000009000000}"/>
    <cellStyle name="Percent" xfId="1" xr:uid="{00000000-0005-0000-0000-000001000000}"/>
  </cellStyles>
  <dxfs count="8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C4"/><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1" Type="http://schemas.openxmlformats.org/officeDocument/2006/relationships/hyperlink" Target="#GeneralPage1"/></Relationships>
</file>

<file path=xl/drawings/_rels/drawing3.xml.rels><?xml version="1.0" encoding="UTF-8" standalone="yes"?>
<Relationships xmlns="http://schemas.openxmlformats.org/package/2006/relationships"><Relationship Id="rId1" Type="http://schemas.openxmlformats.org/officeDocument/2006/relationships/hyperlink" Target="#ExpensesPage2"/></Relationships>
</file>

<file path=xl/drawings/_rels/drawing4.xml.rels><?xml version="1.0" encoding="UTF-8" standalone="yes"?>
<Relationships xmlns="http://schemas.openxmlformats.org/package/2006/relationships"><Relationship Id="rId1" Type="http://schemas.openxmlformats.org/officeDocument/2006/relationships/hyperlink" Target="#AuditServices"/></Relationships>
</file>

<file path=xl/drawings/_rels/drawing5.xml.rels><?xml version="1.0" encoding="UTF-8" standalone="yes"?>
<Relationships xmlns="http://schemas.openxmlformats.org/package/2006/relationships"><Relationship Id="rId1" Type="http://schemas.openxmlformats.org/officeDocument/2006/relationships/hyperlink" Target="#TotalActualGiftedExpenses"/></Relationships>
</file>

<file path=xl/drawings/_rels/drawing6.xml.rels><?xml version="1.0" encoding="UTF-8" standalone="yes"?>
<Relationships xmlns="http://schemas.openxmlformats.org/package/2006/relationships"><Relationship Id="rId1" Type="http://schemas.openxmlformats.org/officeDocument/2006/relationships/hyperlink" Target="#FederalAndStateProjectsPage9"/></Relationships>
</file>

<file path=xl/drawings/_rels/drawing7.xml.rels><?xml version="1.0" encoding="UTF-8" standalone="yes"?>
<Relationships xmlns="http://schemas.openxmlformats.org/package/2006/relationships"><Relationship Id="rId1" Type="http://schemas.openxmlformats.org/officeDocument/2006/relationships/hyperlink" Target="#GeneralPage10"/></Relationships>
</file>

<file path=xl/drawings/_rels/drawing8.xml.rels><?xml version="1.0" encoding="UTF-8" standalone="yes"?>
<Relationships xmlns="http://schemas.openxmlformats.org/package/2006/relationships"><Relationship Id="rId1" Type="http://schemas.openxmlformats.org/officeDocument/2006/relationships/hyperlink" Target="#Page10General"/></Relationships>
</file>

<file path=xl/drawings/_rels/drawing9.xml.rels><?xml version="1.0" encoding="UTF-8" standalone="yes"?>
<Relationships xmlns="http://schemas.openxmlformats.org/package/2006/relationships"><Relationship Id="rId1" Type="http://schemas.openxmlformats.org/officeDocument/2006/relationships/hyperlink" Target="#SumGen"/></Relationships>
</file>

<file path=xl/drawings/_rels/drawing10.xml.rels><?xml version="1.0" encoding="UTF-8" standalone="yes"?>
<Relationships xmlns="http://schemas.openxmlformats.org/package/2006/relationships"><Relationship Id="rId1" Type="http://schemas.openxmlformats.org/officeDocument/2006/relationships/hyperlink" Target="#School_Listing_Tab"/></Relationships>
</file>

<file path=xl/drawings/_rels/drawing1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2</xdr:col>
      <xdr:colOff>295275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0" y="647700"/>
          <a:ext cx="1924050" cy="3810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twoCellAnchor>
    <xdr:from>
      <xdr:col>0</xdr:col>
      <xdr:colOff>0</xdr:colOff>
      <xdr:row>6</xdr:row>
      <xdr:rowOff>0</xdr:rowOff>
    </xdr:from>
    <xdr:to>
      <xdr:col>2</xdr:col>
      <xdr:colOff>285750</xdr:colOff>
      <xdr:row>9</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0" y="1028700"/>
          <a:ext cx="1914525" cy="619125"/>
        </a:xfrm>
        <a:prstGeom prst="rect">
          <a:avLst/>
        </a:prstGeom>
        <a:solidFill>
          <a:srgbClr val="FF0000">
            <a:alpha val="48000"/>
          </a:srgbClr>
        </a:solidFill>
        <a:ln w="9525" cmpd="sng">
          <a:solidFill>
            <a:srgbClr val="FF0000"/>
          </a:solidFill>
          <a:prstDash val="dash"/>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lIns="0" rIns="0" rtlCol="0" anchor="ctr"/>
        <a:lstStyle/>
        <a:p>
          <a:pPr algn="ctr"/>
          <a:r>
            <a:rPr lang="en-US" sz="900">
              <a:latin typeface="Times New Roman" pitchFamily="18" charset="0"/>
              <a:cs typeface="Times New Roman" pitchFamily="18" charset="0"/>
            </a:rPr>
            <a:t>Complete the Cover, School listing, and Accounting</a:t>
          </a:r>
          <a:r>
            <a:rPr lang="en-US" sz="900" baseline="0">
              <a:latin typeface="Times New Roman" pitchFamily="18" charset="0"/>
              <a:cs typeface="Times New Roman" pitchFamily="18" charset="0"/>
            </a:rPr>
            <a:t> data tabs first. See instructions.</a:t>
          </a:r>
          <a:endParaRPr lang="en-US" sz="9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342900</xdr:colOff>
      <xdr:row>3</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3114675" y="323850"/>
          <a:ext cx="1419225" cy="2190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1</xdr:col>
      <xdr:colOff>1952625</xdr:colOff>
      <xdr:row>3</xdr:row>
      <xdr:rowOff>85725</xdr:rowOff>
    </xdr:to>
    <xdr:sp macro="" textlink="">
      <xdr:nvSpPr>
        <xdr:cNvPr id="4" name="TextBox 4">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323975" y="247650"/>
          <a:ext cx="1819275" cy="2381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5</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219075" y="476250"/>
          <a:ext cx="1905000" cy="1619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142875</xdr:rowOff>
    </xdr:from>
    <xdr:to>
      <xdr:col>2</xdr:col>
      <xdr:colOff>228600</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6200" y="304800"/>
          <a:ext cx="876300" cy="2571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3</xdr:row>
      <xdr:rowOff>0</xdr:rowOff>
    </xdr:from>
    <xdr:to>
      <xdr:col>2</xdr:col>
      <xdr:colOff>495300</xdr:colOff>
      <xdr:row>4</xdr:row>
      <xdr:rowOff>123825</xdr:rowOff>
    </xdr:to>
    <xdr:sp macro="" textlink="">
      <xdr:nvSpPr>
        <xdr:cNvPr id="5" name="TextBox 1">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1343025" y="485775"/>
          <a:ext cx="1476375" cy="2857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876300</xdr:colOff>
      <xdr:row>4</xdr:row>
      <xdr:rowOff>0</xdr:rowOff>
    </xdr:from>
    <xdr:to>
      <xdr:col>1</xdr:col>
      <xdr:colOff>2447925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876300" y="609600"/>
          <a:ext cx="2705100" cy="3048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2647950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14300" y="323850"/>
          <a:ext cx="2533650"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114300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0" y="323850"/>
          <a:ext cx="2295525"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714375</xdr:colOff>
      <xdr:row>0</xdr:row>
      <xdr:rowOff>0</xdr:rowOff>
    </xdr:from>
    <xdr:to>
      <xdr:col>4</xdr:col>
      <xdr:colOff>104775</xdr:colOff>
      <xdr:row>2</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562725" y="0"/>
          <a:ext cx="2095500"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1724025</xdr:colOff>
      <xdr:row>0</xdr:row>
      <xdr:rowOff>266700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000-00009C000000}"/>
            </a:ext>
          </a:extLst>
        </xdr:cNvPr>
        <xdr:cNvSpPr txBox="1"/>
      </xdr:nvSpPr>
      <xdr:spPr>
        <a:xfrm>
          <a:off x="0" y="0"/>
          <a:ext cx="4467225" cy="2667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0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stinM\Datto%20Workplace\FY24%20(Heather%20Jones)\AIBT\AFR\RCB-71st\FY23%20Files\afr23%20-%20AIBT%20PP.xlsx" TargetMode="External"/><Relationship Id="rId1" Type="http://schemas.openxmlformats.org/officeDocument/2006/relationships/externalLinkPath" Target="FY23%20Files/afr23%20-%20AIBT%20PP.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zauditor.sharepoint.com/sites/ASDonline/AFR%20and%20Budget%20Masks%20from%20ADE/AFR/FY%202024%20Charter%20School%20AFR/Mapped%20files%20from%20ADE/afr24-food%20service.xlsx" TargetMode="External"/><Relationship Id="rId1" Type="http://schemas.openxmlformats.org/officeDocument/2006/relationships/externalLinkPath" Target="file:///W:\Personal%20Documents\AFR%20FY24\afr24-food%20servi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papers/adoptedbudget24-R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Page 1"/>
      <sheetName val="Page 2"/>
      <sheetName val="Page 3"/>
      <sheetName val="Page 4"/>
      <sheetName val="Page 5"/>
      <sheetName val="Page 6"/>
      <sheetName val="Page 7"/>
      <sheetName val="Page 8"/>
      <sheetName val="Page 9"/>
      <sheetName val="Page 10"/>
      <sheetName val="Summary"/>
      <sheetName val="Reserve balance"/>
      <sheetName val="Alerts"/>
      <sheetName val="School listing"/>
      <sheetName val="Instructions"/>
      <sheetName val="Accounting data"/>
      <sheetName val="Calculations"/>
    </sheetNames>
    <definedNames>
      <definedName name="CashBal" refersTo="='Page 6'!$F$6"/>
      <definedName name="CIP1072EndBal" refersTo="='Page 5'!$O$48"/>
      <definedName name="FP11001130EndBal" refersTo="='Page 8'!$M$6"/>
      <definedName name="FP11401150EndBal" refersTo="='Page 8'!$M$7"/>
      <definedName name="FP1160EndBal" refersTo="='Page 8'!$M$8"/>
      <definedName name="FP11701180EndBal" refersTo="='Page 8'!$M$9"/>
      <definedName name="FP1190EndBal" refersTo="='Page 8'!$M$10"/>
      <definedName name="FP1200EndBal" refersTo="='Page 8'!$M$11"/>
      <definedName name="FP1210EndBal" refersTo="='Page 8'!$M$12"/>
      <definedName name="FP1220EndBal" refersTo="='Page 8'!$M$13"/>
      <definedName name="FP1230EndBal" refersTo="='Page 8'!$M$14"/>
      <definedName name="FP1240EndBal" refersTo="='Page 8'!$M$15"/>
      <definedName name="FP1250EndBal" refersTo="='Page 8'!$M$16"/>
      <definedName name="FP1260EndBal" refersTo="='Page 8'!$M$17"/>
      <definedName name="FP1280EndBal" refersTo="='Page 8'!$M$18"/>
      <definedName name="FP1290EndBal" refersTo="='Page 8'!$M$19"/>
      <definedName name="FP1300EndBal" refersTo="='Page 8'!$M$20"/>
      <definedName name="FP13101399EndBal" refersTo="='Page 8'!$M$22"/>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6"/>
      <definedName name="SP1000P100F2100" refersTo="='Page 2'!$J$8"/>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4"/>
      <definedName name="SP1000P200F2100" refersTo="='Page 2'!$J$26"/>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M$28"/>
      <definedName name="StP1410EndBal" refersTo="='Page 8'!$M$29"/>
      <definedName name="StP1420EndBal" refersTo="='Page 8'!$M$30"/>
      <definedName name="StP1425EndBal" refersTo="='Page 8'!$M$31"/>
      <definedName name="StP1430EndBal" refersTo="='Page 8'!$M$32"/>
      <definedName name="StP1435EndBal" refersTo="='Page 8'!$M$33"/>
      <definedName name="StP1450EndBal" refersTo="='Page 8'!$M$34"/>
      <definedName name="StP1460EndBal" refersTo="='Page 8'!$M$37"/>
      <definedName name="StP1465EndBal" refersTo="='Page 8'!$M$38"/>
      <definedName name="StP14701499EndBal" refersTo="='Page 8'!$M$40"/>
      <definedName name="StP14XXEndBal" refersTo="='Page 8'!$M$39"/>
    </definedNames>
    <sheetDataSet>
      <sheetData sheetId="0"/>
      <sheetData sheetId="1">
        <row r="10">
          <cell r="J10">
            <v>0</v>
          </cell>
        </row>
      </sheetData>
      <sheetData sheetId="2">
        <row r="6">
          <cell r="J6">
            <v>146</v>
          </cell>
        </row>
        <row r="7">
          <cell r="M7" t="str">
            <v>1.</v>
          </cell>
        </row>
        <row r="8">
          <cell r="J8">
            <v>355</v>
          </cell>
        </row>
        <row r="9">
          <cell r="M9" t="str">
            <v>2.</v>
          </cell>
        </row>
        <row r="10">
          <cell r="J10">
            <v>0</v>
          </cell>
          <cell r="M10" t="str">
            <v>3.</v>
          </cell>
        </row>
        <row r="11">
          <cell r="J11">
            <v>0</v>
          </cell>
          <cell r="M11" t="str">
            <v>4.</v>
          </cell>
        </row>
        <row r="12">
          <cell r="J12">
            <v>342</v>
          </cell>
          <cell r="M12" t="str">
            <v>5.</v>
          </cell>
        </row>
        <row r="13">
          <cell r="J13">
            <v>0</v>
          </cell>
          <cell r="M13" t="str">
            <v>6.</v>
          </cell>
        </row>
        <row r="14">
          <cell r="J14">
            <v>11217</v>
          </cell>
          <cell r="M14" t="str">
            <v>7.</v>
          </cell>
        </row>
        <row r="15">
          <cell r="J15">
            <v>0</v>
          </cell>
          <cell r="M15" t="str">
            <v>8.</v>
          </cell>
        </row>
        <row r="16">
          <cell r="J16">
            <v>0</v>
          </cell>
          <cell r="M16" t="str">
            <v>9.</v>
          </cell>
        </row>
        <row r="17">
          <cell r="J17">
            <v>0</v>
          </cell>
          <cell r="M17" t="str">
            <v>10.</v>
          </cell>
        </row>
        <row r="18">
          <cell r="J18">
            <v>0</v>
          </cell>
          <cell r="M18" t="str">
            <v>11.</v>
          </cell>
        </row>
        <row r="19">
          <cell r="J19">
            <v>0</v>
          </cell>
          <cell r="M19" t="str">
            <v>12.</v>
          </cell>
        </row>
        <row r="20">
          <cell r="J20">
            <v>0</v>
          </cell>
          <cell r="M20" t="str">
            <v>13.</v>
          </cell>
        </row>
        <row r="21">
          <cell r="J21">
            <v>0</v>
          </cell>
        </row>
        <row r="22">
          <cell r="J22">
            <v>0</v>
          </cell>
          <cell r="M22" t="str">
            <v>15.</v>
          </cell>
        </row>
        <row r="24">
          <cell r="J24">
            <v>0</v>
          </cell>
        </row>
        <row r="26">
          <cell r="J26">
            <v>1274</v>
          </cell>
        </row>
        <row r="28">
          <cell r="J28">
            <v>0</v>
          </cell>
          <cell r="M28" t="str">
            <v>19.</v>
          </cell>
        </row>
        <row r="29">
          <cell r="J29">
            <v>0</v>
          </cell>
          <cell r="M29" t="str">
            <v>20.</v>
          </cell>
        </row>
        <row r="30">
          <cell r="J30">
            <v>0</v>
          </cell>
          <cell r="M30" t="str">
            <v>21.</v>
          </cell>
        </row>
        <row r="31">
          <cell r="J31">
            <v>0</v>
          </cell>
          <cell r="M31" t="str">
            <v>22.</v>
          </cell>
        </row>
        <row r="32">
          <cell r="J32">
            <v>0</v>
          </cell>
          <cell r="M32" t="str">
            <v>23.</v>
          </cell>
        </row>
        <row r="33">
          <cell r="J33">
            <v>0</v>
          </cell>
          <cell r="M33" t="str">
            <v>24.</v>
          </cell>
        </row>
        <row r="34">
          <cell r="I34">
            <v>0</v>
          </cell>
          <cell r="J34">
            <v>0</v>
          </cell>
          <cell r="M34" t="str">
            <v>25.</v>
          </cell>
        </row>
        <row r="35">
          <cell r="I35">
            <v>0</v>
          </cell>
          <cell r="J35">
            <v>0</v>
          </cell>
        </row>
        <row r="36">
          <cell r="J36">
            <v>0</v>
          </cell>
        </row>
        <row r="37">
          <cell r="I37">
            <v>1354</v>
          </cell>
          <cell r="J37">
            <v>1274</v>
          </cell>
          <cell r="M37" t="str">
            <v>28.</v>
          </cell>
        </row>
        <row r="38">
          <cell r="J38">
            <v>0</v>
          </cell>
          <cell r="M38" t="str">
            <v>29.</v>
          </cell>
        </row>
        <row r="39">
          <cell r="J39">
            <v>0</v>
          </cell>
          <cell r="M39" t="str">
            <v>30.</v>
          </cell>
        </row>
        <row r="40">
          <cell r="J40">
            <v>0</v>
          </cell>
          <cell r="M40" t="str">
            <v>31.</v>
          </cell>
        </row>
        <row r="41">
          <cell r="J41">
            <v>0</v>
          </cell>
        </row>
        <row r="42">
          <cell r="I42">
            <v>65853</v>
          </cell>
          <cell r="J42">
            <v>13334</v>
          </cell>
        </row>
        <row r="43">
          <cell r="I43">
            <v>18764</v>
          </cell>
          <cell r="J43">
            <v>14807</v>
          </cell>
        </row>
        <row r="44">
          <cell r="J44">
            <v>1204</v>
          </cell>
        </row>
        <row r="45">
          <cell r="I45">
            <v>0</v>
          </cell>
          <cell r="J45">
            <v>0</v>
          </cell>
        </row>
        <row r="46">
          <cell r="J46">
            <v>0</v>
          </cell>
        </row>
        <row r="47">
          <cell r="J47">
            <v>90568</v>
          </cell>
        </row>
      </sheetData>
      <sheetData sheetId="3">
        <row r="6">
          <cell r="F6">
            <v>6100</v>
          </cell>
          <cell r="J6" t="str">
            <v>Budget</v>
          </cell>
        </row>
        <row r="8">
          <cell r="J8">
            <v>99339</v>
          </cell>
        </row>
        <row r="10">
          <cell r="J10">
            <v>0</v>
          </cell>
        </row>
        <row r="11">
          <cell r="J11">
            <v>0</v>
          </cell>
        </row>
        <row r="12">
          <cell r="J12">
            <v>0</v>
          </cell>
          <cell r="M12" t="str">
            <v/>
          </cell>
        </row>
        <row r="13">
          <cell r="J13">
            <v>99339</v>
          </cell>
        </row>
      </sheetData>
      <sheetData sheetId="4">
        <row r="8">
          <cell r="J8">
            <v>2</v>
          </cell>
        </row>
        <row r="10">
          <cell r="J10">
            <v>4</v>
          </cell>
        </row>
        <row r="11">
          <cell r="J11">
            <v>5</v>
          </cell>
        </row>
      </sheetData>
      <sheetData sheetId="5">
        <row r="11">
          <cell r="M11">
            <v>0</v>
          </cell>
        </row>
        <row r="13">
          <cell r="J13">
            <v>0</v>
          </cell>
        </row>
        <row r="14">
          <cell r="M14">
            <v>0</v>
          </cell>
        </row>
        <row r="15">
          <cell r="J15">
            <v>0</v>
          </cell>
        </row>
        <row r="16">
          <cell r="J16">
            <v>0</v>
          </cell>
          <cell r="M16">
            <v>0</v>
          </cell>
        </row>
        <row r="17">
          <cell r="J17">
            <v>0</v>
          </cell>
          <cell r="M17">
            <v>0</v>
          </cell>
        </row>
        <row r="18">
          <cell r="J18">
            <v>0</v>
          </cell>
          <cell r="M18">
            <v>0</v>
          </cell>
        </row>
        <row r="19">
          <cell r="J19">
            <v>0</v>
          </cell>
          <cell r="M19">
            <v>0</v>
          </cell>
        </row>
        <row r="20">
          <cell r="J20">
            <v>0</v>
          </cell>
          <cell r="M20">
            <v>0</v>
          </cell>
        </row>
        <row r="22">
          <cell r="J22">
            <v>0</v>
          </cell>
          <cell r="M22">
            <v>0</v>
          </cell>
        </row>
        <row r="26">
          <cell r="J26">
            <v>0</v>
          </cell>
          <cell r="O26">
            <v>0</v>
          </cell>
        </row>
        <row r="33">
          <cell r="M33">
            <v>0</v>
          </cell>
        </row>
        <row r="35">
          <cell r="J35">
            <v>0</v>
          </cell>
        </row>
        <row r="38">
          <cell r="J38">
            <v>0</v>
          </cell>
          <cell r="M38">
            <v>0</v>
          </cell>
        </row>
        <row r="39">
          <cell r="J39">
            <v>0</v>
          </cell>
          <cell r="M39">
            <v>0</v>
          </cell>
        </row>
        <row r="40">
          <cell r="J40">
            <v>0</v>
          </cell>
          <cell r="M40">
            <v>0</v>
          </cell>
        </row>
        <row r="41">
          <cell r="J41">
            <v>0</v>
          </cell>
        </row>
        <row r="43">
          <cell r="J43">
            <v>0</v>
          </cell>
        </row>
        <row r="44">
          <cell r="J44">
            <v>0</v>
          </cell>
        </row>
        <row r="47">
          <cell r="J47">
            <v>0</v>
          </cell>
        </row>
        <row r="48">
          <cell r="O48">
            <v>0</v>
          </cell>
        </row>
      </sheetData>
      <sheetData sheetId="6">
        <row r="6">
          <cell r="F6">
            <v>332596</v>
          </cell>
          <cell r="J6" t="str">
            <v>1.</v>
          </cell>
        </row>
        <row r="8">
          <cell r="J8" t="str">
            <v>3.</v>
          </cell>
        </row>
        <row r="10">
          <cell r="J10" t="str">
            <v>5.</v>
          </cell>
        </row>
        <row r="11">
          <cell r="J11" t="str">
            <v>6.</v>
          </cell>
        </row>
        <row r="12">
          <cell r="J12" t="str">
            <v>7.</v>
          </cell>
        </row>
        <row r="13">
          <cell r="J13" t="str">
            <v>8.</v>
          </cell>
        </row>
        <row r="16">
          <cell r="M16" t="str">
            <v>Certified</v>
          </cell>
        </row>
        <row r="17">
          <cell r="J17" t="str">
            <v>Teacher salaries</v>
          </cell>
          <cell r="M17" t="str">
            <v>teachers</v>
          </cell>
        </row>
        <row r="18">
          <cell r="J18" t="str">
            <v xml:space="preserve"> (function 1000)</v>
          </cell>
          <cell r="M18" t="str">
            <v>(object 6112)</v>
          </cell>
        </row>
        <row r="19">
          <cell r="J19" t="str">
            <v>1.</v>
          </cell>
          <cell r="M19">
            <v>44351</v>
          </cell>
        </row>
        <row r="20">
          <cell r="J20" t="str">
            <v>2.</v>
          </cell>
          <cell r="M20">
            <v>0</v>
          </cell>
        </row>
        <row r="22">
          <cell r="J22" t="str">
            <v>4.</v>
          </cell>
          <cell r="M22">
            <v>0</v>
          </cell>
        </row>
        <row r="29">
          <cell r="J29" t="str">
            <v>1.</v>
          </cell>
          <cell r="T29">
            <v>44351</v>
          </cell>
        </row>
        <row r="30">
          <cell r="J30" t="str">
            <v>2.</v>
          </cell>
        </row>
        <row r="31">
          <cell r="J31" t="str">
            <v>3.</v>
          </cell>
        </row>
        <row r="32">
          <cell r="J32" t="str">
            <v>4.</v>
          </cell>
        </row>
        <row r="40">
          <cell r="J40" t="str">
            <v>Charter management information</v>
          </cell>
        </row>
        <row r="41">
          <cell r="J41" t="str">
            <v>Management organization type</v>
          </cell>
        </row>
        <row r="43">
          <cell r="J43" t="str">
            <v>Organization name:</v>
          </cell>
        </row>
        <row r="44">
          <cell r="J44" t="str">
            <v>Employer Identification Number:</v>
          </cell>
        </row>
        <row r="45">
          <cell r="J45" t="str">
            <v>Address 1:</v>
          </cell>
        </row>
        <row r="46">
          <cell r="J46" t="str">
            <v>Address 2:</v>
          </cell>
        </row>
        <row r="47">
          <cell r="J47" t="str">
            <v>City:</v>
          </cell>
        </row>
      </sheetData>
      <sheetData sheetId="7">
        <row r="7">
          <cell r="M7">
            <v>8</v>
          </cell>
        </row>
        <row r="8">
          <cell r="J8">
            <v>0</v>
          </cell>
          <cell r="M8">
            <v>0</v>
          </cell>
        </row>
        <row r="9">
          <cell r="M9">
            <v>0</v>
          </cell>
        </row>
        <row r="10">
          <cell r="J10">
            <v>0</v>
          </cell>
          <cell r="M10">
            <v>0</v>
          </cell>
        </row>
        <row r="11">
          <cell r="J11">
            <v>0</v>
          </cell>
          <cell r="M11">
            <v>0</v>
          </cell>
        </row>
      </sheetData>
      <sheetData sheetId="8">
        <row r="6">
          <cell r="F6">
            <v>0</v>
          </cell>
          <cell r="J6">
            <v>0</v>
          </cell>
          <cell r="M6">
            <v>0</v>
          </cell>
        </row>
        <row r="7">
          <cell r="M7">
            <v>0</v>
          </cell>
        </row>
        <row r="8">
          <cell r="J8">
            <v>0</v>
          </cell>
          <cell r="M8">
            <v>0</v>
          </cell>
        </row>
        <row r="9">
          <cell r="M9">
            <v>0</v>
          </cell>
        </row>
        <row r="10">
          <cell r="J10">
            <v>0</v>
          </cell>
          <cell r="M10">
            <v>0</v>
          </cell>
        </row>
        <row r="11">
          <cell r="J11">
            <v>0</v>
          </cell>
          <cell r="M11">
            <v>0</v>
          </cell>
        </row>
        <row r="12">
          <cell r="J12">
            <v>0</v>
          </cell>
          <cell r="M12">
            <v>0</v>
          </cell>
        </row>
        <row r="13">
          <cell r="J13">
            <v>3052</v>
          </cell>
          <cell r="M13">
            <v>0</v>
          </cell>
        </row>
        <row r="14">
          <cell r="J14">
            <v>0</v>
          </cell>
          <cell r="M14">
            <v>0</v>
          </cell>
        </row>
        <row r="15">
          <cell r="J15">
            <v>0</v>
          </cell>
          <cell r="M15">
            <v>0</v>
          </cell>
        </row>
        <row r="16">
          <cell r="J16">
            <v>0</v>
          </cell>
          <cell r="M16">
            <v>0</v>
          </cell>
        </row>
        <row r="17">
          <cell r="J17">
            <v>0</v>
          </cell>
          <cell r="M17">
            <v>0</v>
          </cell>
        </row>
        <row r="18">
          <cell r="J18">
            <v>0</v>
          </cell>
          <cell r="M18">
            <v>0</v>
          </cell>
        </row>
        <row r="19">
          <cell r="J19">
            <v>0</v>
          </cell>
          <cell r="M19">
            <v>0</v>
          </cell>
        </row>
        <row r="20">
          <cell r="J20">
            <v>0</v>
          </cell>
          <cell r="M20">
            <v>0</v>
          </cell>
        </row>
        <row r="21">
          <cell r="M21">
            <v>0</v>
          </cell>
        </row>
        <row r="22">
          <cell r="J22">
            <v>85561</v>
          </cell>
          <cell r="M22">
            <v>0</v>
          </cell>
        </row>
        <row r="25">
          <cell r="M25">
            <v>0</v>
          </cell>
        </row>
        <row r="28">
          <cell r="J28">
            <v>0</v>
          </cell>
          <cell r="M28">
            <v>0</v>
          </cell>
        </row>
        <row r="29">
          <cell r="J29">
            <v>0</v>
          </cell>
          <cell r="M29">
            <v>0</v>
          </cell>
        </row>
        <row r="30">
          <cell r="J30">
            <v>0</v>
          </cell>
          <cell r="M30">
            <v>0</v>
          </cell>
        </row>
        <row r="31">
          <cell r="J31">
            <v>0</v>
          </cell>
          <cell r="M31">
            <v>0</v>
          </cell>
        </row>
        <row r="32">
          <cell r="J32">
            <v>0</v>
          </cell>
          <cell r="M32">
            <v>0</v>
          </cell>
        </row>
        <row r="33">
          <cell r="J33">
            <v>0</v>
          </cell>
          <cell r="M33">
            <v>0</v>
          </cell>
        </row>
        <row r="34">
          <cell r="J34">
            <v>0</v>
          </cell>
          <cell r="M34">
            <v>0</v>
          </cell>
        </row>
        <row r="35">
          <cell r="J35">
            <v>0</v>
          </cell>
          <cell r="M35">
            <v>0</v>
          </cell>
        </row>
        <row r="36">
          <cell r="J36">
            <v>0</v>
          </cell>
          <cell r="M36">
            <v>0</v>
          </cell>
        </row>
        <row r="37">
          <cell r="M37">
            <v>0</v>
          </cell>
        </row>
        <row r="38">
          <cell r="J38">
            <v>0</v>
          </cell>
          <cell r="M38">
            <v>0</v>
          </cell>
        </row>
        <row r="39">
          <cell r="J39">
            <v>0</v>
          </cell>
          <cell r="M39">
            <v>0</v>
          </cell>
        </row>
        <row r="40">
          <cell r="J40">
            <v>1955</v>
          </cell>
          <cell r="M40">
            <v>0</v>
          </cell>
        </row>
        <row r="41">
          <cell r="J41">
            <v>1955</v>
          </cell>
        </row>
        <row r="43">
          <cell r="J43">
            <v>90568</v>
          </cell>
        </row>
      </sheetData>
      <sheetData sheetId="9">
        <row r="8">
          <cell r="J8" t="str">
            <v>6800</v>
          </cell>
        </row>
        <row r="10">
          <cell r="J10" t="str">
            <v>6850 and 6890)</v>
          </cell>
        </row>
        <row r="11">
          <cell r="J11">
            <v>0</v>
          </cell>
        </row>
        <row r="13">
          <cell r="J13">
            <v>0</v>
          </cell>
        </row>
        <row r="14">
          <cell r="J14">
            <v>0</v>
          </cell>
        </row>
        <row r="15">
          <cell r="J15">
            <v>0</v>
          </cell>
        </row>
        <row r="16">
          <cell r="J16">
            <v>0</v>
          </cell>
        </row>
        <row r="17">
          <cell r="J17">
            <v>0</v>
          </cell>
        </row>
        <row r="18">
          <cell r="J18">
            <v>0</v>
          </cell>
        </row>
        <row r="19">
          <cell r="J19">
            <v>0</v>
          </cell>
        </row>
        <row r="22">
          <cell r="J22">
            <v>0</v>
          </cell>
        </row>
        <row r="24">
          <cell r="J24">
            <v>0</v>
          </cell>
        </row>
        <row r="26">
          <cell r="J26">
            <v>0</v>
          </cell>
        </row>
      </sheetData>
      <sheetData sheetId="10">
        <row r="6">
          <cell r="F6" t="str">
            <v xml:space="preserve">Purchased </v>
          </cell>
        </row>
        <row r="7">
          <cell r="M7" t="str">
            <v>All</v>
          </cell>
        </row>
        <row r="8">
          <cell r="J8" t="str">
            <v>Miscellaneous</v>
          </cell>
          <cell r="M8" t="str">
            <v>Object Codes</v>
          </cell>
        </row>
        <row r="9">
          <cell r="M9" t="str">
            <v>(excluding 6900)</v>
          </cell>
        </row>
        <row r="10">
          <cell r="J10">
            <v>0</v>
          </cell>
          <cell r="M10">
            <v>0</v>
          </cell>
        </row>
        <row r="11">
          <cell r="J11">
            <v>0</v>
          </cell>
          <cell r="M11">
            <v>0</v>
          </cell>
        </row>
        <row r="12">
          <cell r="J12">
            <v>0</v>
          </cell>
          <cell r="M12">
            <v>0</v>
          </cell>
        </row>
        <row r="13">
          <cell r="J13">
            <v>0</v>
          </cell>
          <cell r="M13">
            <v>0</v>
          </cell>
        </row>
        <row r="14">
          <cell r="J14">
            <v>0</v>
          </cell>
          <cell r="M14">
            <v>0</v>
          </cell>
        </row>
        <row r="15">
          <cell r="J15">
            <v>0</v>
          </cell>
          <cell r="M15">
            <v>0</v>
          </cell>
        </row>
        <row r="16">
          <cell r="J16">
            <v>0</v>
          </cell>
          <cell r="M16">
            <v>0</v>
          </cell>
        </row>
        <row r="17">
          <cell r="J17">
            <v>0</v>
          </cell>
          <cell r="M17">
            <v>0</v>
          </cell>
        </row>
        <row r="18">
          <cell r="J18">
            <v>0</v>
          </cell>
          <cell r="M18">
            <v>0</v>
          </cell>
        </row>
        <row r="19">
          <cell r="J19">
            <v>0</v>
          </cell>
          <cell r="M19">
            <v>0</v>
          </cell>
        </row>
        <row r="22">
          <cell r="J22">
            <v>0</v>
          </cell>
        </row>
        <row r="24">
          <cell r="J24">
            <v>0</v>
          </cell>
        </row>
        <row r="26">
          <cell r="J26">
            <v>0</v>
          </cell>
          <cell r="O26">
            <v>0</v>
          </cell>
        </row>
        <row r="30">
          <cell r="M30" t="str">
            <v/>
          </cell>
        </row>
        <row r="31">
          <cell r="J31">
            <v>0</v>
          </cell>
          <cell r="M31" t="str">
            <v/>
          </cell>
        </row>
        <row r="32">
          <cell r="J32">
            <v>0</v>
          </cell>
          <cell r="M32" t="str">
            <v/>
          </cell>
        </row>
        <row r="35">
          <cell r="J35" t="str">
            <v>Paycheck Protection Program</v>
          </cell>
        </row>
        <row r="36">
          <cell r="J36" t="str">
            <v>1. Total loan amount received</v>
          </cell>
        </row>
        <row r="38">
          <cell r="J38" t="str">
            <v xml:space="preserve">3. Total loan amount approved for forgiveness </v>
          </cell>
        </row>
        <row r="39">
          <cell r="J39" t="str">
            <v>4. Total amounts returned to Small Business Administration</v>
          </cell>
        </row>
        <row r="40">
          <cell r="J40" t="str">
            <v>5. Total loan amount remaining (line 1 minus lines 2 and 4, final amount should equal 0)</v>
          </cell>
        </row>
      </sheetData>
      <sheetData sheetId="11">
        <row r="10">
          <cell r="J10" t="str">
            <v xml:space="preserve">principal </v>
          </cell>
          <cell r="M10" t="str">
            <v>Additional reserve information</v>
          </cell>
        </row>
        <row r="11">
          <cell r="M11" t="str">
            <v>(see Reserve Balance tab for more detail)</v>
          </cell>
        </row>
        <row r="12">
          <cell r="M12">
            <v>-1</v>
          </cell>
        </row>
        <row r="14">
          <cell r="M14">
            <v>-2</v>
          </cell>
        </row>
        <row r="17">
          <cell r="J17">
            <v>0</v>
          </cell>
          <cell r="K17">
            <v>332596</v>
          </cell>
          <cell r="M17">
            <v>-3</v>
          </cell>
        </row>
        <row r="18">
          <cell r="J18">
            <v>0</v>
          </cell>
        </row>
        <row r="20">
          <cell r="M20">
            <v>-4</v>
          </cell>
        </row>
        <row r="22">
          <cell r="J22">
            <v>0</v>
          </cell>
        </row>
      </sheetData>
      <sheetData sheetId="12"/>
      <sheetData sheetId="13"/>
      <sheetData sheetId="14">
        <row r="6">
          <cell r="F6" t="str">
            <v>Primary unit code</v>
          </cell>
        </row>
      </sheetData>
      <sheetData sheetId="15"/>
      <sheetData sheetId="16">
        <row r="6">
          <cell r="F6" t="str">
            <v xml:space="preserve">      3200 Instructional Improvement</v>
          </cell>
          <cell r="J6" t="str">
            <v>Revenue</v>
          </cell>
          <cell r="M6" t="str">
            <v>1071-English Language Learner</v>
          </cell>
        </row>
        <row r="7">
          <cell r="M7" t="str">
            <v>1072-Compensatory Instruction Project</v>
          </cell>
        </row>
        <row r="8">
          <cell r="M8" t="str">
            <v>1100-1130-ESEA Title I - Helping Disadvantaged Children</v>
          </cell>
        </row>
        <row r="9">
          <cell r="M9" t="str">
            <v>1140-1150-ESEA Title II  - Prof. Dev. And Technology</v>
          </cell>
        </row>
        <row r="10">
          <cell r="J10" t="str">
            <v>Revenue</v>
          </cell>
          <cell r="M10" t="str">
            <v>1160-ESEA  Title IV - 21st Century Schools</v>
          </cell>
        </row>
        <row r="11">
          <cell r="J11" t="str">
            <v>Revenue</v>
          </cell>
          <cell r="M11" t="str">
            <v>1170-1180-ESEA Title V - Promote Informed Parent Choice</v>
          </cell>
        </row>
        <row r="12">
          <cell r="J12" t="str">
            <v>Revenue</v>
          </cell>
          <cell r="M12" t="str">
            <v>1190-ESEA  Title III - Limited Eng. &amp; Immigrant Students</v>
          </cell>
        </row>
        <row r="13">
          <cell r="M13" t="str">
            <v>1200-ESEA Title VII - Indian Education</v>
          </cell>
        </row>
        <row r="14">
          <cell r="M14" t="str">
            <v>1210-ESEA Title VI - Flexibility and Accountability</v>
          </cell>
        </row>
        <row r="15">
          <cell r="M15" t="str">
            <v>1220-IDEA, Part B</v>
          </cell>
        </row>
        <row r="16">
          <cell r="M16" t="str">
            <v>1227-ARP-IDEA Preschool</v>
          </cell>
        </row>
        <row r="17">
          <cell r="M17" t="str">
            <v>1228-ARP-IDEA Basic</v>
          </cell>
        </row>
        <row r="18">
          <cell r="J18" t="str">
            <v>1000-Instruction</v>
          </cell>
          <cell r="M18" t="str">
            <v>1230-Johnson-O'Malley</v>
          </cell>
        </row>
        <row r="19">
          <cell r="J19" t="str">
            <v>1000-Instruction</v>
          </cell>
          <cell r="M19" t="str">
            <v>1240-Workforce Investment Act</v>
          </cell>
        </row>
        <row r="20">
          <cell r="J20" t="str">
            <v>1000-Instruction</v>
          </cell>
          <cell r="M20" t="str">
            <v>1250-AEA - Adult Education</v>
          </cell>
        </row>
        <row r="22">
          <cell r="J22" t="str">
            <v>1000-Instruction</v>
          </cell>
          <cell r="M22" t="str">
            <v>1280-ESEA Title X - Homeless Education</v>
          </cell>
        </row>
        <row r="24">
          <cell r="J24" t="str">
            <v>1000-Instruction</v>
          </cell>
        </row>
        <row r="26">
          <cell r="J26" t="str">
            <v>1000-Instruction</v>
          </cell>
        </row>
        <row r="28">
          <cell r="J28" t="str">
            <v>1000-Instruction</v>
          </cell>
          <cell r="M28" t="str">
            <v>1400-Vocational Education</v>
          </cell>
        </row>
        <row r="29">
          <cell r="M29" t="str">
            <v>1410-Early Childhood Block Grant</v>
          </cell>
        </row>
        <row r="30">
          <cell r="M30" t="str">
            <v>1420-Extended School Year - Pupils with Disabilities</v>
          </cell>
        </row>
        <row r="31">
          <cell r="J31" t="str">
            <v>2100-Support Services-Students</v>
          </cell>
          <cell r="M31" t="str">
            <v>1425-Adult Basic Education</v>
          </cell>
        </row>
        <row r="32">
          <cell r="J32" t="str">
            <v>2100-Support Services-Students</v>
          </cell>
          <cell r="M32" t="str">
            <v>1430-Chemical Abuse Prevention Programs</v>
          </cell>
        </row>
        <row r="33">
          <cell r="J33" t="str">
            <v>2100-Support Services-Students</v>
          </cell>
          <cell r="M33" t="str">
            <v>1435-Academic Contests</v>
          </cell>
        </row>
        <row r="34">
          <cell r="J34" t="str">
            <v>2100-Support Services-Students</v>
          </cell>
          <cell r="M34" t="str">
            <v>1450-Gifted Education</v>
          </cell>
        </row>
        <row r="37">
          <cell r="M37" t="str">
            <v>1460-Environmental Special Plate</v>
          </cell>
        </row>
        <row r="38">
          <cell r="J38" t="str">
            <v>2200-Support Services-Instruction</v>
          </cell>
          <cell r="M38" t="str">
            <v>1465-Charter School Stimulus Fund</v>
          </cell>
        </row>
        <row r="39">
          <cell r="J39" t="str">
            <v>2200-Support Services-Instruction</v>
          </cell>
          <cell r="M39" t="str">
            <v>14XX-Arizona Industry Credentials Incentive</v>
          </cell>
        </row>
        <row r="40">
          <cell r="J40" t="str">
            <v>2200-Support Services-Instruction</v>
          </cell>
          <cell r="M40" t="str">
            <v>1470-1499-Other State Projects</v>
          </cell>
        </row>
        <row r="43">
          <cell r="J43" t="str">
            <v>2200-Support Services-Instruction</v>
          </cell>
        </row>
        <row r="44">
          <cell r="J44" t="str">
            <v>2400-Support Services-School Administration</v>
          </cell>
        </row>
        <row r="45">
          <cell r="J45" t="str">
            <v>2400-Support Services-School Administration</v>
          </cell>
        </row>
        <row r="46">
          <cell r="J46" t="str">
            <v>2400-Support Services-School Administration</v>
          </cell>
        </row>
        <row r="47">
          <cell r="J47" t="str">
            <v>2400-Support Services-School Administration</v>
          </cell>
        </row>
      </sheetData>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od Service AFR"/>
      <sheetName val="Instructions"/>
    </sheetNames>
    <sheetDataSet>
      <sheetData sheetId="0">
        <row r="7">
          <cell r="E7"/>
        </row>
        <row r="10">
          <cell r="E10"/>
        </row>
        <row r="11">
          <cell r="E11"/>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adoptedbudget24-RCB"/>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49478</v>
          </cell>
        </row>
        <row r="10">
          <cell r="L10">
            <v>0</v>
          </cell>
        </row>
        <row r="11">
          <cell r="L11">
            <v>0</v>
          </cell>
        </row>
        <row r="12">
          <cell r="L12">
            <v>0</v>
          </cell>
        </row>
        <row r="13">
          <cell r="L13">
            <v>3199</v>
          </cell>
        </row>
        <row r="14">
          <cell r="L14">
            <v>0</v>
          </cell>
        </row>
        <row r="15">
          <cell r="L15">
            <v>13046</v>
          </cell>
        </row>
        <row r="16">
          <cell r="L16">
            <v>0</v>
          </cell>
        </row>
        <row r="17">
          <cell r="L17">
            <v>0</v>
          </cell>
        </row>
        <row r="18">
          <cell r="L18">
            <v>0</v>
          </cell>
        </row>
        <row r="19">
          <cell r="L19">
            <v>0</v>
          </cell>
        </row>
        <row r="20">
          <cell r="L20">
            <v>0</v>
          </cell>
        </row>
        <row r="21">
          <cell r="L21">
            <v>0</v>
          </cell>
        </row>
        <row r="22">
          <cell r="L22">
            <v>0</v>
          </cell>
        </row>
        <row r="25">
          <cell r="L25">
            <v>1361</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15362</v>
          </cell>
        </row>
        <row r="45">
          <cell r="L45">
            <v>520</v>
          </cell>
        </row>
        <row r="46">
          <cell r="L46">
            <v>0</v>
          </cell>
        </row>
        <row r="47">
          <cell r="L47">
            <v>0</v>
          </cell>
        </row>
        <row r="48">
          <cell r="L48">
            <v>1643</v>
          </cell>
        </row>
      </sheetData>
      <sheetData sheetId="3">
        <row r="5">
          <cell r="E5"/>
          <cell r="N5">
            <v>1361</v>
          </cell>
        </row>
        <row r="6">
          <cell r="E6"/>
          <cell r="N6"/>
        </row>
        <row r="7">
          <cell r="E7"/>
          <cell r="N7"/>
        </row>
        <row r="8">
          <cell r="E8"/>
          <cell r="N8"/>
        </row>
        <row r="9">
          <cell r="E9"/>
          <cell r="N9"/>
        </row>
        <row r="10">
          <cell r="E10"/>
          <cell r="N10"/>
        </row>
        <row r="11">
          <cell r="E11"/>
          <cell r="N11"/>
        </row>
        <row r="12">
          <cell r="E12">
            <v>1643</v>
          </cell>
        </row>
        <row r="13">
          <cell r="E13"/>
        </row>
        <row r="14">
          <cell r="E14"/>
          <cell r="N14"/>
        </row>
        <row r="15">
          <cell r="E15"/>
        </row>
        <row r="16">
          <cell r="E16"/>
        </row>
        <row r="17">
          <cell r="E17"/>
        </row>
        <row r="18">
          <cell r="E18"/>
        </row>
        <row r="19">
          <cell r="E19"/>
        </row>
        <row r="20">
          <cell r="E20"/>
        </row>
        <row r="21">
          <cell r="E21"/>
          <cell r="N21"/>
        </row>
        <row r="22">
          <cell r="N22"/>
        </row>
        <row r="23">
          <cell r="N23">
            <v>520</v>
          </cell>
        </row>
        <row r="24">
          <cell r="E24"/>
          <cell r="N24"/>
        </row>
        <row r="25">
          <cell r="E25"/>
        </row>
        <row r="26">
          <cell r="E26"/>
        </row>
        <row r="27">
          <cell r="E27"/>
        </row>
        <row r="28">
          <cell r="E28"/>
        </row>
        <row r="29">
          <cell r="E29"/>
        </row>
        <row r="30">
          <cell r="E30"/>
        </row>
        <row r="31">
          <cell r="E31"/>
        </row>
        <row r="32">
          <cell r="E32"/>
        </row>
        <row r="33">
          <cell r="E33"/>
        </row>
        <row r="35">
          <cell r="E35"/>
        </row>
        <row r="40">
          <cell r="E40"/>
        </row>
        <row r="41">
          <cell r="E41"/>
        </row>
        <row r="42">
          <cell r="E42"/>
        </row>
        <row r="43">
          <cell r="E43"/>
        </row>
        <row r="44">
          <cell r="E44"/>
        </row>
        <row r="45">
          <cell r="E45"/>
        </row>
      </sheetData>
      <sheetData sheetId="4">
        <row r="8">
          <cell r="K8">
            <v>15362</v>
          </cell>
        </row>
        <row r="9">
          <cell r="K9">
            <v>0</v>
          </cell>
        </row>
        <row r="10">
          <cell r="K10">
            <v>0</v>
          </cell>
        </row>
        <row r="11">
          <cell r="K11">
            <v>0</v>
          </cell>
        </row>
        <row r="12">
          <cell r="K12">
            <v>0</v>
          </cell>
        </row>
        <row r="17">
          <cell r="F17"/>
        </row>
        <row r="18">
          <cell r="F18"/>
        </row>
        <row r="19">
          <cell r="F19"/>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durand2@educationaloptionsfoundatio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CCP-35th/CS%20FINAL%20FILES%20FROM%20ADE/Program_200_Budget_and_Program_200_Actual_column_totals_should_equal_line_27_on_page_2." TargetMode="External"/><Relationship Id="rId1" Type="http://schemas.openxmlformats.org/officeDocument/2006/relationships/hyperlink" Target="../CCP-35th/CS%20FINAL%20FILES%20FROM%20ADE/Program_200_Budget_and_Program_200_Actual_column_totals_should_equal_line_27_on_page_2."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CCP-35th/CS%20FINAL%20FILES%20FROM%20ADE/BegFundBalanc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azed.gov/titlei/sample-page/rural-low-income-schools-rlis/" TargetMode="External"/><Relationship Id="rId7" Type="http://schemas.openxmlformats.org/officeDocument/2006/relationships/printerSettings" Target="../printerSettings/printerSettings16.bin"/><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5"/>
  <sheetViews>
    <sheetView showGridLines="0" tabSelected="1" zoomScaleNormal="100" workbookViewId="0">
      <selection activeCell="B10" sqref="B10:J10"/>
    </sheetView>
  </sheetViews>
  <sheetFormatPr defaultColWidth="9.33203125" defaultRowHeight="13.2" x14ac:dyDescent="0.25"/>
  <cols>
    <col min="1" max="1" width="22.109375" customWidth="1"/>
    <col min="2" max="2" width="6.33203125" customWidth="1"/>
    <col min="3" max="3" width="5.33203125" customWidth="1"/>
    <col min="4" max="4" width="9.33203125" customWidth="1"/>
    <col min="5" max="5" width="6.33203125" customWidth="1"/>
    <col min="6" max="6" width="13" customWidth="1"/>
    <col min="7" max="7" width="7.7773437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77734375" customWidth="1"/>
    <col min="29" max="29" width="9.33203125" customWidth="1"/>
  </cols>
  <sheetData>
    <row r="1" spans="1:28" ht="12.75" customHeight="1" x14ac:dyDescent="0.3">
      <c r="A1" s="710" t="s">
        <v>0</v>
      </c>
      <c r="B1" s="710"/>
      <c r="C1" s="710"/>
      <c r="D1" s="702" t="s">
        <v>1325</v>
      </c>
      <c r="E1" s="705"/>
      <c r="F1" s="705"/>
      <c r="G1" s="705"/>
      <c r="H1" s="705"/>
      <c r="I1" s="705"/>
      <c r="L1" s="618" t="s">
        <v>1</v>
      </c>
      <c r="M1" s="704" t="s">
        <v>1327</v>
      </c>
      <c r="N1" s="705"/>
      <c r="Q1" s="61" t="s">
        <v>2</v>
      </c>
      <c r="R1" s="585" t="s">
        <v>1328</v>
      </c>
      <c r="AA1" s="590" t="s">
        <v>3</v>
      </c>
      <c r="AB1" s="106">
        <v>45519</v>
      </c>
    </row>
    <row r="2" spans="1:28" ht="12.75" customHeight="1" x14ac:dyDescent="0.25">
      <c r="A2" s="107"/>
      <c r="B2" s="107"/>
      <c r="C2" s="107"/>
      <c r="D2" s="706" t="s">
        <v>4</v>
      </c>
      <c r="E2" s="706"/>
      <c r="F2" s="706"/>
      <c r="G2" s="706"/>
      <c r="H2" s="706"/>
      <c r="I2" s="706"/>
      <c r="L2" s="713"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
      </c>
      <c r="M2" s="715"/>
      <c r="N2" s="715"/>
      <c r="O2" s="715"/>
      <c r="P2" s="715"/>
      <c r="Q2" s="715"/>
      <c r="R2" s="715"/>
    </row>
    <row r="3" spans="1:28" ht="12.75" customHeight="1" x14ac:dyDescent="0.3">
      <c r="A3" s="107"/>
      <c r="B3" s="107"/>
      <c r="C3" s="107"/>
      <c r="D3" s="702" t="s">
        <v>1326</v>
      </c>
      <c r="E3" s="705"/>
      <c r="F3" s="705"/>
      <c r="G3" s="705"/>
      <c r="H3" s="705"/>
      <c r="I3" s="705"/>
      <c r="L3" s="715"/>
      <c r="M3" s="715"/>
      <c r="N3" s="715"/>
      <c r="O3" s="715"/>
      <c r="P3" s="715"/>
      <c r="Q3" s="715"/>
      <c r="R3" s="715"/>
    </row>
    <row r="4" spans="1:28" ht="12.75" customHeight="1" x14ac:dyDescent="0.25">
      <c r="A4" s="107"/>
      <c r="B4" s="107"/>
      <c r="C4" s="107"/>
      <c r="D4" s="706" t="s">
        <v>5</v>
      </c>
      <c r="E4" s="706"/>
      <c r="F4" s="706"/>
      <c r="G4" s="706"/>
      <c r="H4" s="706"/>
      <c r="I4" s="706"/>
      <c r="L4" s="713" t="str">
        <f>IF(L2="","",CONCATENATE(Alerts!B3,CHAR(10),Alerts!B4,CHAR(10),Alerts!B5,CHAR(10),Alerts!B6,CHAR(10),Alerts!B7,CHAR(10),Alerts!B8,CHAR(10),Alerts!B9,CHAR(10),Alerts!B10,CHAR(10),Alerts!B11,CHAR(10),Alerts!B12,CHAR(10),Alerts!B13,CHAR(10),Alerts!B14,CHAR(10),Alerts!B15,CHAR(10),Alerts!B16))</f>
        <v/>
      </c>
      <c r="M4" s="714"/>
      <c r="N4" s="714"/>
      <c r="O4" s="714"/>
      <c r="P4" s="714"/>
      <c r="Q4" s="714"/>
      <c r="R4" s="714"/>
    </row>
    <row r="5" spans="1:28" ht="12.75" customHeight="1" x14ac:dyDescent="0.25">
      <c r="A5" s="107"/>
      <c r="B5" s="107"/>
      <c r="C5" s="107"/>
      <c r="L5" s="714"/>
      <c r="M5" s="714"/>
      <c r="N5" s="714"/>
      <c r="O5" s="714"/>
      <c r="P5" s="714"/>
      <c r="Q5" s="714"/>
      <c r="R5" s="714"/>
    </row>
    <row r="6" spans="1:28" ht="17.399999999999999" x14ac:dyDescent="0.3">
      <c r="A6" s="69"/>
      <c r="B6" s="716" t="s">
        <v>1178</v>
      </c>
      <c r="C6" s="716"/>
      <c r="D6" s="716"/>
      <c r="E6" s="716"/>
      <c r="F6" s="716"/>
      <c r="G6" s="716"/>
      <c r="H6" s="716"/>
      <c r="I6" s="716"/>
      <c r="J6" s="82"/>
      <c r="L6" s="714"/>
      <c r="M6" s="714"/>
      <c r="N6" s="714"/>
      <c r="O6" s="714"/>
      <c r="P6" s="714"/>
      <c r="Q6" s="714"/>
      <c r="R6" s="714"/>
    </row>
    <row r="7" spans="1:28" ht="18" customHeight="1" x14ac:dyDescent="0.3">
      <c r="A7" s="69"/>
      <c r="B7" s="716" t="s">
        <v>6</v>
      </c>
      <c r="C7" s="716"/>
      <c r="D7" s="716"/>
      <c r="E7" s="716"/>
      <c r="F7" s="716"/>
      <c r="G7" s="716"/>
      <c r="H7" s="716"/>
      <c r="I7" s="716"/>
      <c r="J7" s="78"/>
      <c r="L7" s="714"/>
      <c r="M7" s="714"/>
      <c r="N7" s="714"/>
      <c r="O7" s="714"/>
      <c r="P7" s="714"/>
      <c r="Q7" s="714"/>
      <c r="R7" s="714"/>
    </row>
    <row r="8" spans="1:28" ht="18" customHeight="1" x14ac:dyDescent="0.3">
      <c r="A8" s="69"/>
      <c r="B8" s="717" t="s">
        <v>7</v>
      </c>
      <c r="C8" s="717"/>
      <c r="D8" s="717"/>
      <c r="E8" s="717"/>
      <c r="F8" s="717"/>
      <c r="G8" s="717"/>
      <c r="H8" s="717"/>
      <c r="I8" s="717"/>
      <c r="J8" s="82"/>
      <c r="L8" s="714"/>
      <c r="M8" s="714"/>
      <c r="N8" s="714"/>
      <c r="O8" s="714"/>
      <c r="P8" s="714"/>
      <c r="Q8" s="714"/>
      <c r="R8" s="714"/>
    </row>
    <row r="9" spans="1:28" ht="12.75" customHeight="1" x14ac:dyDescent="0.25">
      <c r="C9" s="108"/>
      <c r="D9" s="108"/>
      <c r="E9" s="108"/>
      <c r="F9" s="108"/>
      <c r="G9" s="108"/>
      <c r="H9" s="108"/>
      <c r="I9" s="108"/>
      <c r="J9" s="109"/>
      <c r="L9" s="714"/>
      <c r="M9" s="714"/>
      <c r="N9" s="714"/>
      <c r="O9" s="714"/>
      <c r="P9" s="713"/>
      <c r="Q9" s="714"/>
      <c r="R9" s="714"/>
    </row>
    <row r="10" spans="1:28" ht="26.25" customHeight="1" x14ac:dyDescent="0.3">
      <c r="A10" s="25" t="s">
        <v>1332</v>
      </c>
      <c r="B10" s="711" t="str">
        <f>IF('Page 2'!N9="","","Checking the box to the left certifies the Charter did not incur any expenses for student support services, as defined in the USFRCS and reported on Page 2, Line 2, during the fiscal year.")</f>
        <v>Checking the box to the left certifies the Charter did not incur any expenses for student support services, as defined in the USFRCS and reported on Page 2, Line 2, during the fiscal year.</v>
      </c>
      <c r="C10" s="711"/>
      <c r="D10" s="711"/>
      <c r="E10" s="711"/>
      <c r="F10" s="711"/>
      <c r="G10" s="711"/>
      <c r="H10" s="711"/>
      <c r="I10" s="711"/>
      <c r="J10" s="712"/>
      <c r="L10" s="714"/>
      <c r="M10" s="714"/>
      <c r="N10" s="714"/>
      <c r="O10" s="714"/>
      <c r="P10" s="714"/>
      <c r="Q10" s="714"/>
      <c r="R10" s="714"/>
    </row>
    <row r="11" spans="1:28" x14ac:dyDescent="0.25">
      <c r="A11" s="110"/>
      <c r="B11" s="108"/>
      <c r="C11" s="108"/>
      <c r="D11" s="108"/>
      <c r="E11" s="108"/>
      <c r="F11" s="108"/>
      <c r="G11" s="108"/>
      <c r="H11" s="108"/>
      <c r="I11" s="108"/>
      <c r="J11" s="109"/>
      <c r="L11" s="714"/>
      <c r="M11" s="714"/>
      <c r="N11" s="714"/>
      <c r="O11" s="714"/>
      <c r="P11" s="714"/>
      <c r="Q11" s="714"/>
      <c r="R11" s="714"/>
    </row>
    <row r="12" spans="1:28" ht="25.5" customHeight="1" x14ac:dyDescent="0.3">
      <c r="A12" s="25" t="s">
        <v>1332</v>
      </c>
      <c r="B12" s="711" t="str">
        <f>IF('Page 2'!N10="","","Checking the box to the left certifies the Charter did not incur any expenses for instructional support services, as defined in the USFRCS and reported on Page 2, Line 3, during the fiscal year.")</f>
        <v>Checking the box to the left certifies the Charter did not incur any expenses for instructional support services, as defined in the USFRCS and reported on Page 2, Line 3, during the fiscal year.</v>
      </c>
      <c r="C12" s="711"/>
      <c r="D12" s="711"/>
      <c r="E12" s="711"/>
      <c r="F12" s="711"/>
      <c r="G12" s="711"/>
      <c r="H12" s="711"/>
      <c r="I12" s="711"/>
      <c r="J12" s="712"/>
      <c r="K12" s="66"/>
      <c r="L12" s="714"/>
      <c r="M12" s="714"/>
      <c r="N12" s="714"/>
      <c r="O12" s="714"/>
      <c r="P12" s="714"/>
      <c r="Q12" s="714"/>
      <c r="R12" s="714"/>
    </row>
    <row r="13" spans="1:28" x14ac:dyDescent="0.25">
      <c r="A13" s="110"/>
      <c r="C13" s="108"/>
      <c r="D13" s="108"/>
      <c r="E13" s="108"/>
      <c r="F13" s="108"/>
      <c r="G13" s="108"/>
      <c r="H13" s="108"/>
      <c r="I13" s="108"/>
      <c r="J13" s="109"/>
      <c r="L13" s="714"/>
      <c r="M13" s="714"/>
      <c r="N13" s="714"/>
      <c r="O13" s="714"/>
      <c r="P13" s="714"/>
      <c r="Q13" s="714"/>
      <c r="R13" s="714"/>
    </row>
    <row r="14" spans="1:28" ht="25.5" customHeight="1" x14ac:dyDescent="0.3">
      <c r="A14" s="25"/>
      <c r="B14" s="708" t="str">
        <f>IF('Page 3'!M12="","","Checking the box to the left certifies the Charter did not incur any expenses for Classroom Site Project, as reported on Page 3, during the fiscal year.")</f>
        <v/>
      </c>
      <c r="C14" s="708"/>
      <c r="D14" s="708"/>
      <c r="E14" s="708"/>
      <c r="F14" s="708"/>
      <c r="G14" s="708"/>
      <c r="H14" s="708"/>
      <c r="I14" s="708"/>
      <c r="J14" s="709"/>
      <c r="L14" s="714"/>
      <c r="M14" s="714"/>
      <c r="N14" s="714"/>
      <c r="O14" s="714"/>
      <c r="P14" s="714"/>
      <c r="Q14" s="714"/>
      <c r="R14" s="714"/>
    </row>
    <row r="15" spans="1:28" x14ac:dyDescent="0.25">
      <c r="A15" s="110"/>
      <c r="C15" s="108"/>
      <c r="D15" s="108"/>
      <c r="E15" s="108"/>
      <c r="F15" s="108"/>
      <c r="G15" s="108"/>
      <c r="H15" s="108"/>
      <c r="I15" s="108"/>
      <c r="J15" s="109"/>
      <c r="L15" s="714"/>
      <c r="M15" s="714"/>
      <c r="N15" s="714"/>
      <c r="O15" s="714"/>
      <c r="P15" s="714"/>
      <c r="Q15" s="714"/>
      <c r="R15" s="714"/>
    </row>
    <row r="16" spans="1:28" ht="39.75" customHeight="1" x14ac:dyDescent="0.3">
      <c r="A16" s="25"/>
      <c r="B16" s="711" t="str">
        <f>IF('Page 6'!H33="","","Checking the box to the left certifies the Charter did not incur any current expenses for student support services, as defined in the USFRCS and reported on Page 6-Section E-Line 4, during the fiscal year.")</f>
        <v/>
      </c>
      <c r="C16" s="711"/>
      <c r="D16" s="711"/>
      <c r="E16" s="711"/>
      <c r="F16" s="711"/>
      <c r="G16" s="711"/>
      <c r="H16" s="711"/>
      <c r="I16" s="711"/>
      <c r="J16" s="712"/>
      <c r="L16" s="714"/>
      <c r="M16" s="714"/>
      <c r="N16" s="714"/>
      <c r="O16" s="714"/>
      <c r="P16" s="714"/>
      <c r="Q16" s="714"/>
      <c r="R16" s="714"/>
    </row>
    <row r="17" spans="1:26" x14ac:dyDescent="0.25">
      <c r="A17" s="110"/>
      <c r="C17" s="108"/>
      <c r="D17" s="108"/>
      <c r="E17" s="108"/>
      <c r="F17" s="108"/>
      <c r="G17" s="108"/>
      <c r="H17" s="108"/>
      <c r="I17" s="108"/>
      <c r="J17" s="109"/>
      <c r="L17" s="714"/>
      <c r="M17" s="714"/>
      <c r="N17" s="714"/>
      <c r="O17" s="714"/>
      <c r="P17" s="714"/>
      <c r="Q17" s="714"/>
      <c r="R17" s="714"/>
    </row>
    <row r="18" spans="1:26" ht="48" customHeight="1" x14ac:dyDescent="0.3">
      <c r="A18" s="25"/>
      <c r="B18" s="711" t="str">
        <f>IF('Page 4'!K10="","","Checking the box to the left certifies the Charter did not incur any expenses for Instructional Improvement Project, as defined in the USFRCS and reported on Page 4, Line 5, during the fiscal year.")</f>
        <v/>
      </c>
      <c r="C18" s="711"/>
      <c r="D18" s="711"/>
      <c r="E18" s="711"/>
      <c r="F18" s="711"/>
      <c r="G18" s="711"/>
      <c r="H18" s="711"/>
      <c r="I18" s="711"/>
      <c r="J18" s="712"/>
      <c r="L18" s="714"/>
      <c r="M18" s="714"/>
      <c r="N18" s="714"/>
      <c r="O18" s="714"/>
      <c r="P18" s="714"/>
      <c r="Q18" s="714"/>
      <c r="R18" s="714"/>
      <c r="S18" s="608"/>
      <c r="T18" s="608"/>
    </row>
    <row r="19" spans="1:26" ht="12.75" customHeight="1" thickBot="1" x14ac:dyDescent="0.3">
      <c r="B19" s="693" t="s">
        <v>1179</v>
      </c>
      <c r="C19" s="693"/>
      <c r="D19" s="693"/>
      <c r="E19" s="693"/>
      <c r="F19" s="693"/>
      <c r="G19" s="693"/>
      <c r="H19" s="693"/>
      <c r="I19" s="693"/>
      <c r="J19" s="82"/>
      <c r="L19" s="700" t="s">
        <v>1180</v>
      </c>
      <c r="M19" s="700"/>
      <c r="N19" s="700"/>
      <c r="O19" s="700"/>
      <c r="P19" s="700"/>
      <c r="Q19" s="700"/>
      <c r="R19" s="700"/>
      <c r="S19" s="608"/>
      <c r="T19" s="608"/>
    </row>
    <row r="20" spans="1:26" ht="25.5" customHeight="1" thickBot="1" x14ac:dyDescent="0.35">
      <c r="B20" s="693"/>
      <c r="C20" s="693"/>
      <c r="D20" s="693"/>
      <c r="E20" s="693"/>
      <c r="F20" s="693"/>
      <c r="G20" s="693"/>
      <c r="H20" s="693"/>
      <c r="I20" s="693"/>
      <c r="J20" s="82"/>
      <c r="L20" t="s">
        <v>8</v>
      </c>
      <c r="N20" s="688">
        <v>45580</v>
      </c>
      <c r="O20" s="701" t="s">
        <v>9</v>
      </c>
      <c r="P20" s="701"/>
      <c r="Q20" s="701"/>
      <c r="R20" s="701"/>
      <c r="T20" s="693" t="str">
        <f>IF(Z20="X","","Charters schools must review the FY 2024 AFR Formula Corrections file and make any required formula corrections before finalizing and submitting the AFR. Select the X in the dropdown box in cell Z20 once this step is complete.")</f>
        <v/>
      </c>
      <c r="U20" s="693"/>
      <c r="V20" s="693"/>
      <c r="W20" s="693"/>
      <c r="X20" s="693"/>
      <c r="Z20" t="s">
        <v>1332</v>
      </c>
    </row>
    <row r="21" spans="1:26" ht="12.75" customHeight="1" x14ac:dyDescent="0.25">
      <c r="A21" s="700"/>
      <c r="B21" s="700"/>
      <c r="C21" s="700"/>
      <c r="D21" s="700"/>
      <c r="E21" s="700"/>
      <c r="F21" s="608"/>
      <c r="G21" s="707"/>
      <c r="H21" s="707"/>
      <c r="I21" s="707"/>
      <c r="J21" s="82"/>
      <c r="L21" s="700" t="s">
        <v>10</v>
      </c>
      <c r="M21" s="700"/>
      <c r="N21" s="700"/>
      <c r="O21" s="111"/>
      <c r="P21" s="111"/>
      <c r="Q21" s="111"/>
      <c r="R21" s="111"/>
      <c r="T21" s="693"/>
      <c r="U21" s="693"/>
      <c r="V21" s="693"/>
      <c r="W21" s="693"/>
      <c r="X21" s="693"/>
    </row>
    <row r="22" spans="1:26" ht="13.5" customHeight="1" x14ac:dyDescent="0.3">
      <c r="A22" s="694"/>
      <c r="B22" s="694"/>
      <c r="C22" s="694"/>
      <c r="D22" s="694"/>
      <c r="E22" s="694"/>
      <c r="F22" s="608"/>
      <c r="G22" s="704" t="s">
        <v>20</v>
      </c>
      <c r="H22" s="705"/>
      <c r="I22" s="705"/>
      <c r="J22" s="82"/>
      <c r="M22" s="111"/>
      <c r="N22" s="111"/>
      <c r="O22" s="111"/>
      <c r="P22" s="111"/>
      <c r="Q22" s="111"/>
      <c r="R22" s="111"/>
      <c r="T22" s="693"/>
      <c r="U22" s="693"/>
      <c r="V22" s="693"/>
      <c r="W22" s="693"/>
      <c r="X22" s="693"/>
    </row>
    <row r="23" spans="1:26" ht="12.75" customHeight="1" x14ac:dyDescent="0.25">
      <c r="H23" s="608"/>
      <c r="I23" s="608"/>
      <c r="J23" s="78"/>
      <c r="L23" s="694"/>
      <c r="M23" s="694"/>
      <c r="N23" s="694"/>
      <c r="P23" s="884" t="s">
        <v>1333</v>
      </c>
      <c r="Q23" s="885"/>
      <c r="R23" s="885"/>
      <c r="T23" s="693"/>
      <c r="U23" s="693"/>
      <c r="V23" s="693"/>
      <c r="W23" s="693"/>
      <c r="X23" s="693"/>
    </row>
    <row r="24" spans="1:26" ht="14.25" customHeight="1" x14ac:dyDescent="0.3">
      <c r="A24" s="694"/>
      <c r="B24" s="694"/>
      <c r="C24" s="694"/>
      <c r="D24" s="694"/>
      <c r="E24" s="694"/>
      <c r="F24" s="608"/>
      <c r="G24" s="704" t="s">
        <v>20</v>
      </c>
      <c r="H24" s="705"/>
      <c r="I24" s="705"/>
      <c r="J24" s="78"/>
      <c r="L24" s="695" t="s">
        <v>11</v>
      </c>
      <c r="M24" s="695"/>
      <c r="N24" s="695"/>
      <c r="P24" s="695" t="s">
        <v>12</v>
      </c>
      <c r="Q24" s="695"/>
      <c r="R24" s="695"/>
    </row>
    <row r="25" spans="1:26" ht="12.75" customHeight="1" x14ac:dyDescent="0.3">
      <c r="J25" s="78"/>
      <c r="L25" s="702" t="s">
        <v>1329</v>
      </c>
      <c r="M25" s="703"/>
      <c r="N25" s="703"/>
    </row>
    <row r="26" spans="1:26" ht="14.25" customHeight="1" x14ac:dyDescent="0.3">
      <c r="A26" s="694"/>
      <c r="B26" s="694"/>
      <c r="C26" s="694"/>
      <c r="D26" s="694"/>
      <c r="E26" s="694"/>
      <c r="F26" s="608"/>
      <c r="G26" s="704" t="s">
        <v>20</v>
      </c>
      <c r="H26" s="705"/>
      <c r="I26" s="705"/>
      <c r="J26" s="78"/>
      <c r="L26" s="695" t="s">
        <v>13</v>
      </c>
      <c r="M26" s="695"/>
      <c r="N26" s="695"/>
    </row>
    <row r="27" spans="1:26" ht="12.75" customHeight="1" x14ac:dyDescent="0.25">
      <c r="J27" s="78"/>
      <c r="L27" s="700"/>
      <c r="M27" s="700"/>
      <c r="N27" s="700"/>
      <c r="O27" s="112"/>
      <c r="P27" s="698"/>
      <c r="Q27" s="698"/>
      <c r="R27" s="698"/>
    </row>
    <row r="28" spans="1:26" ht="12.75" customHeight="1" x14ac:dyDescent="0.3">
      <c r="A28" s="694"/>
      <c r="B28" s="694"/>
      <c r="C28" s="694"/>
      <c r="D28" s="694"/>
      <c r="E28" s="694"/>
      <c r="F28" s="608"/>
      <c r="G28" s="704" t="s">
        <v>20</v>
      </c>
      <c r="H28" s="705"/>
      <c r="I28" s="705"/>
      <c r="J28" s="78"/>
      <c r="L28" s="694"/>
      <c r="M28" s="694"/>
      <c r="N28" s="694"/>
      <c r="P28" s="696" t="s">
        <v>1330</v>
      </c>
      <c r="Q28" s="697"/>
      <c r="R28" s="697"/>
    </row>
    <row r="29" spans="1:26" ht="14.25" customHeight="1" x14ac:dyDescent="0.25">
      <c r="D29" s="608"/>
      <c r="E29" s="608"/>
      <c r="F29" s="608"/>
      <c r="G29" s="608"/>
      <c r="J29" s="78"/>
      <c r="L29" s="695" t="s">
        <v>11</v>
      </c>
      <c r="M29" s="695"/>
      <c r="N29" s="695"/>
      <c r="P29" s="695" t="s">
        <v>12</v>
      </c>
      <c r="Q29" s="695"/>
      <c r="R29" s="695"/>
    </row>
    <row r="30" spans="1:26" ht="12.75" customHeight="1" x14ac:dyDescent="0.3">
      <c r="A30" s="694"/>
      <c r="B30" s="694"/>
      <c r="C30" s="694"/>
      <c r="D30" s="694"/>
      <c r="E30" s="694"/>
      <c r="F30" s="608"/>
      <c r="G30" s="704" t="s">
        <v>20</v>
      </c>
      <c r="H30" s="705"/>
      <c r="I30" s="705"/>
      <c r="K30" s="89"/>
      <c r="L30" s="702" t="s">
        <v>1331</v>
      </c>
      <c r="M30" s="703"/>
      <c r="N30" s="703"/>
    </row>
    <row r="31" spans="1:26" ht="30.75" customHeight="1" x14ac:dyDescent="0.3">
      <c r="A31" s="694"/>
      <c r="B31" s="694"/>
      <c r="C31" s="694"/>
      <c r="D31" s="694"/>
      <c r="E31" s="694"/>
      <c r="F31" s="608"/>
      <c r="G31" s="704" t="s">
        <v>20</v>
      </c>
      <c r="H31" s="705"/>
      <c r="I31" s="705"/>
      <c r="J31" s="78"/>
      <c r="K31" s="89"/>
      <c r="L31" s="695" t="s">
        <v>13</v>
      </c>
      <c r="M31" s="695"/>
      <c r="N31" s="695"/>
    </row>
    <row r="32" spans="1:26" ht="12.75" customHeight="1" x14ac:dyDescent="0.25">
      <c r="J32" s="78"/>
      <c r="K32" s="71"/>
      <c r="L32" s="72" t="s">
        <v>14</v>
      </c>
      <c r="M32" s="72"/>
      <c r="N32" s="72"/>
      <c r="O32" s="72"/>
      <c r="P32" s="72"/>
      <c r="Q32" s="72"/>
      <c r="R32" s="72"/>
    </row>
    <row r="33" spans="1:18" ht="12.75" customHeight="1" x14ac:dyDescent="0.3">
      <c r="A33" s="694"/>
      <c r="B33" s="694"/>
      <c r="C33" s="694"/>
      <c r="D33" s="694"/>
      <c r="E33" s="694"/>
      <c r="F33" s="608"/>
      <c r="G33" s="702" t="s">
        <v>20</v>
      </c>
      <c r="H33" s="705"/>
      <c r="I33" s="705"/>
      <c r="J33" s="78"/>
      <c r="L33" t="s">
        <v>15</v>
      </c>
      <c r="P33" s="3" t="s">
        <v>16</v>
      </c>
      <c r="Q33" s="699">
        <f>TotExpSchoolwide</f>
        <v>24151</v>
      </c>
      <c r="R33" s="699"/>
    </row>
    <row r="34" spans="1:18" ht="12.75" customHeight="1" x14ac:dyDescent="0.25">
      <c r="A34" s="706" t="s">
        <v>17</v>
      </c>
      <c r="B34" s="706"/>
      <c r="C34" s="706"/>
      <c r="D34" s="706"/>
      <c r="E34" s="706"/>
      <c r="F34" s="608"/>
      <c r="G34" s="706" t="s">
        <v>18</v>
      </c>
      <c r="H34" s="706"/>
      <c r="I34" s="706"/>
      <c r="J34" s="78"/>
      <c r="L34" t="s">
        <v>19</v>
      </c>
      <c r="P34" s="3" t="s">
        <v>16</v>
      </c>
      <c r="Q34" s="699">
        <f>SP1000ClassSiteProj</f>
        <v>32796</v>
      </c>
      <c r="R34" s="699"/>
    </row>
    <row r="35" spans="1:18" ht="12.75" customHeight="1" x14ac:dyDescent="0.25">
      <c r="J35" s="78"/>
    </row>
  </sheetData>
  <sheetProtection formatCells="0" formatColumns="0" formatRows="0"/>
  <mergeCells count="55">
    <mergeCell ref="A24:E24"/>
    <mergeCell ref="A28:E28"/>
    <mergeCell ref="A30:E30"/>
    <mergeCell ref="A31:E31"/>
    <mergeCell ref="A34:E34"/>
    <mergeCell ref="A33:E33"/>
    <mergeCell ref="G34:I34"/>
    <mergeCell ref="G24:I24"/>
    <mergeCell ref="G26:I26"/>
    <mergeCell ref="G28:I28"/>
    <mergeCell ref="G30:I30"/>
    <mergeCell ref="G31:I31"/>
    <mergeCell ref="G33:I33"/>
    <mergeCell ref="L4:R18"/>
    <mergeCell ref="L2:R3"/>
    <mergeCell ref="B6:I6"/>
    <mergeCell ref="B8:I8"/>
    <mergeCell ref="A21:E21"/>
    <mergeCell ref="B7:I7"/>
    <mergeCell ref="B10:J10"/>
    <mergeCell ref="B16:J16"/>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Q34:R34"/>
    <mergeCell ref="L31:N31"/>
    <mergeCell ref="L19:R19"/>
    <mergeCell ref="L21:N21"/>
    <mergeCell ref="O20:R20"/>
    <mergeCell ref="Q33:R33"/>
    <mergeCell ref="P29:R29"/>
    <mergeCell ref="P28:R28"/>
    <mergeCell ref="L25:N25"/>
    <mergeCell ref="L30:N30"/>
    <mergeCell ref="T20:X23"/>
    <mergeCell ref="L28:N28"/>
    <mergeCell ref="L29:N29"/>
    <mergeCell ref="L26:N26"/>
    <mergeCell ref="P23:R23"/>
    <mergeCell ref="P24:R24"/>
    <mergeCell ref="P27:R27"/>
    <mergeCell ref="L23:N23"/>
  </mergeCells>
  <conditionalFormatting sqref="A16:B16">
    <cfRule type="expression" priority="25" stopIfTrue="1">
      <formula>$A$16="X"</formula>
    </cfRule>
  </conditionalFormatting>
  <conditionalFormatting sqref="B10">
    <cfRule type="expression" dxfId="81" priority="30" stopIfTrue="1">
      <formula>$A$10="X"</formula>
    </cfRule>
  </conditionalFormatting>
  <conditionalFormatting sqref="B12 B14">
    <cfRule type="expression" priority="28" stopIfTrue="1">
      <formula>$A$14="X"</formula>
    </cfRule>
  </conditionalFormatting>
  <conditionalFormatting sqref="B12 B11:J11">
    <cfRule type="expression" priority="29" stopIfTrue="1">
      <formula>$A$12="X"</formula>
    </cfRule>
  </conditionalFormatting>
  <conditionalFormatting sqref="D1 M1 R1">
    <cfRule type="expression" dxfId="80" priority="8" stopIfTrue="1">
      <formula>D1=""</formula>
    </cfRule>
  </conditionalFormatting>
  <conditionalFormatting sqref="D3:I3">
    <cfRule type="expression" dxfId="79" priority="6" stopIfTrue="1">
      <formula>$D$3=""</formula>
    </cfRule>
  </conditionalFormatting>
  <conditionalFormatting sqref="G22 G24 G26 G28 G30:G31 G33">
    <cfRule type="expression" dxfId="78" priority="7" stopIfTrue="1">
      <formula>$G22=""</formula>
    </cfRule>
  </conditionalFormatting>
  <conditionalFormatting sqref="L2:R3">
    <cfRule type="expression" dxfId="77" priority="17" stopIfTrue="1">
      <formula>$L$4&lt;&gt;""</formula>
    </cfRule>
  </conditionalFormatting>
  <conditionalFormatting sqref="N20 L25 L30">
    <cfRule type="expression" dxfId="76" priority="5" stopIfTrue="1">
      <formula>L20=""</formula>
    </cfRule>
  </conditionalFormatting>
  <conditionalFormatting sqref="P23">
    <cfRule type="expression" dxfId="75" priority="2" stopIfTrue="1">
      <formula>P23=""</formula>
    </cfRule>
  </conditionalFormatting>
  <conditionalFormatting sqref="P28">
    <cfRule type="expression" dxfId="74" priority="1" stopIfTrue="1">
      <formula>P28=""</formula>
    </cfRule>
  </conditionalFormatting>
  <conditionalFormatting sqref="T20">
    <cfRule type="expression" dxfId="73" priority="3"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000-000000000000}">
      <formula1>9</formula1>
    </dataValidation>
    <dataValidation type="date" operator="greaterThanOrEqual" allowBlank="1" showInputMessage="1" showErrorMessage="1" errorTitle="Date" error="Enter Valid Date_x000a_MM/DD/YYYY" promptTitle="Enter Date as" prompt="MM/DD/YYYY" sqref="N20" xr:uid="{00000000-0002-0000-0000-000001000000}">
      <formula1>42962</formula1>
    </dataValidation>
    <dataValidation type="list" allowBlank="1" showInputMessage="1" showErrorMessage="1" sqref="A14 A16 A12 A10 A18 Z20" xr:uid="{00000000-0002-0000-0000-000002000000}">
      <formula1>"X"</formula1>
    </dataValidation>
  </dataValidations>
  <hyperlinks>
    <hyperlink ref="P23" r:id="rId1" xr:uid="{FE003BBE-F104-400D-AB52-3EE17DA0D53C}"/>
  </hyperlinks>
  <pageMargins left="0.75" right="0.25" top="0.25" bottom="0.25" header="0.5" footer="0.15"/>
  <pageSetup paperSize="5" scale="97" orientation="landscape" r:id="rId2"/>
  <headerFooter>
    <oddFooter>&amp;LRev. 8/24 Arizona Department of Education and Auditor General&amp;CFY 2024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40"/>
  <sheetViews>
    <sheetView showGridLines="0" zoomScaleNormal="100" workbookViewId="0">
      <selection activeCell="D41" sqref="D41"/>
    </sheetView>
  </sheetViews>
  <sheetFormatPr defaultColWidth="9.33203125" defaultRowHeight="13.2" x14ac:dyDescent="0.25"/>
  <cols>
    <col min="1" max="1" width="3.33203125" customWidth="1"/>
    <col min="2" max="2" width="17.77734375" customWidth="1"/>
    <col min="3" max="3" width="33.33203125" customWidth="1"/>
    <col min="4" max="4" width="13.77734375" customWidth="1"/>
    <col min="5" max="5" width="5" customWidth="1"/>
    <col min="6" max="6" width="14" customWidth="1"/>
    <col min="7" max="7" width="7.33203125" customWidth="1"/>
    <col min="8" max="8" width="13.7773437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5">
      <c r="A1" s="710" t="s">
        <v>0</v>
      </c>
      <c r="B1" s="710"/>
      <c r="C1" s="611" t="str">
        <f>'Cover Page'!D1</f>
        <v>AIBT Non-Profit Charter High School</v>
      </c>
      <c r="G1" s="61" t="s">
        <v>1</v>
      </c>
      <c r="H1" s="723" t="str">
        <f>'Cover Page'!M1</f>
        <v>Maricopa</v>
      </c>
      <c r="I1" s="723"/>
      <c r="L1" s="61" t="s">
        <v>2</v>
      </c>
      <c r="M1" s="722" t="str">
        <f>'Cover Page'!R1</f>
        <v>078286000</v>
      </c>
      <c r="N1" s="723"/>
    </row>
    <row r="2" spans="1:14" x14ac:dyDescent="0.25">
      <c r="F2" s="608"/>
      <c r="G2" s="608"/>
      <c r="H2" t="s">
        <v>20</v>
      </c>
    </row>
    <row r="3" spans="1:14" x14ac:dyDescent="0.25">
      <c r="A3" s="590" t="s">
        <v>21</v>
      </c>
      <c r="B3" s="590"/>
    </row>
    <row r="4" spans="1:14" x14ac:dyDescent="0.25">
      <c r="A4" s="590" t="s">
        <v>22</v>
      </c>
      <c r="H4" s="62" t="s">
        <v>23</v>
      </c>
      <c r="J4" s="63"/>
      <c r="K4" s="63"/>
      <c r="L4" s="63"/>
    </row>
    <row r="5" spans="1:14" x14ac:dyDescent="0.25">
      <c r="A5" s="3" t="s">
        <v>24</v>
      </c>
      <c r="B5" s="718" t="s">
        <v>25</v>
      </c>
      <c r="C5" s="718"/>
      <c r="D5" s="718"/>
      <c r="H5" s="593">
        <f>-(SUMIFS('Accounting data'!$G$2:$G$37003,'Accounting data'!$K$2:$K$37003,"1310*"))+SUMIFS('Accounting data'!$G$2:$G$37003,'Accounting data'!$H$2:$H$37003,"9999*",'Accounting data'!$K$2:$K$37003,"1310*")</f>
        <v>0</v>
      </c>
      <c r="I5" s="612" t="s">
        <v>24</v>
      </c>
      <c r="J5" s="63"/>
      <c r="K5" s="63"/>
      <c r="L5" s="63"/>
    </row>
    <row r="6" spans="1:14" x14ac:dyDescent="0.25">
      <c r="A6" s="3" t="s">
        <v>26</v>
      </c>
      <c r="B6" s="718" t="s">
        <v>27</v>
      </c>
      <c r="C6" s="718"/>
      <c r="D6" s="718"/>
      <c r="H6" s="593">
        <f>-(SUMIFS('Accounting data'!$G$2:$G$37003,'Accounting data'!$K$2:$K$37003,"1320*"))+SUMIFS('Accounting data'!$G$2:$G$37003,'Accounting data'!$H$2:$H$37003,"9999*",'Accounting data'!$K$2:$K$37003,"1320*")</f>
        <v>0</v>
      </c>
      <c r="I6" s="612" t="s">
        <v>26</v>
      </c>
      <c r="J6" s="63"/>
      <c r="K6" s="63"/>
      <c r="L6" s="63"/>
    </row>
    <row r="7" spans="1:14" ht="12.75" customHeight="1" x14ac:dyDescent="0.25">
      <c r="A7" s="3" t="s">
        <v>28</v>
      </c>
      <c r="B7" s="700" t="s">
        <v>29</v>
      </c>
      <c r="C7" s="700"/>
      <c r="D7" s="700"/>
      <c r="H7" s="593">
        <f>-(SUMIFS('Accounting data'!$G$2:$G$37003,'Accounting data'!$K$2:$K$37003,"1410*"))+SUMIFS('Accounting data'!$G$2:$G$37003,'Accounting data'!$H$2:$H$37003,"9999*",'Accounting data'!$K$2:$K$37003,"1410*")</f>
        <v>0</v>
      </c>
      <c r="I7" s="612" t="s">
        <v>28</v>
      </c>
      <c r="J7" s="724" t="s">
        <v>30</v>
      </c>
      <c r="K7" s="724"/>
      <c r="L7" s="63"/>
    </row>
    <row r="8" spans="1:14" x14ac:dyDescent="0.25">
      <c r="A8" s="3" t="s">
        <v>31</v>
      </c>
      <c r="B8" s="700" t="s">
        <v>32</v>
      </c>
      <c r="C8" s="700"/>
      <c r="D8" s="700"/>
      <c r="H8" s="593">
        <f>-(SUMIFS('Accounting data'!$G$2:$G$37003,'Accounting data'!$K$2:$K$37003,"1420*"))+SUMIFS('Accounting data'!$G$2:$G$37003,'Accounting data'!$H$2:$H$37003,"9999*",'Accounting data'!$K$2:$K$37003,"1420*")</f>
        <v>0</v>
      </c>
      <c r="I8" s="612" t="s">
        <v>31</v>
      </c>
      <c r="J8" s="724"/>
      <c r="K8" s="724"/>
      <c r="L8" s="63"/>
    </row>
    <row r="9" spans="1:14" x14ac:dyDescent="0.25">
      <c r="A9" s="3" t="s">
        <v>33</v>
      </c>
      <c r="B9" s="700" t="s">
        <v>34</v>
      </c>
      <c r="C9" s="700"/>
      <c r="H9" s="593">
        <f>-(SUMIFS('Accounting data'!$G$2:$G$37003,'Accounting data'!$K$2:$K$37003,"1500*"))+SUMIFS('Accounting data'!$G$2:$G$37003,'Accounting data'!$H$2:$H$37003,"9999*",'Accounting data'!$K$2:$K$37003,"1500*")</f>
        <v>63</v>
      </c>
      <c r="I9" s="612" t="s">
        <v>33</v>
      </c>
      <c r="J9" s="724"/>
      <c r="K9" s="724"/>
      <c r="L9" s="63"/>
    </row>
    <row r="10" spans="1:14" x14ac:dyDescent="0.25">
      <c r="A10" s="64" t="s">
        <v>35</v>
      </c>
      <c r="B10" s="700" t="s">
        <v>36</v>
      </c>
      <c r="C10" s="700"/>
      <c r="H10" s="593">
        <f>'[2]Food Service AFR'!$E$7</f>
        <v>0</v>
      </c>
      <c r="I10" s="612" t="s">
        <v>35</v>
      </c>
      <c r="J10" s="725">
        <f>-(SUMIFS('Accounting data'!$G$2:$G$37003,'Accounting data'!$K$2:$K$37003,"1600*"))+SUMIFS('Accounting data'!$G$2:$G$37003,'Accounting data'!$H$2:$H$37003,"9999*",'Accounting data'!$K$2:$K$37003,"1600*")</f>
        <v>0</v>
      </c>
      <c r="K10" s="725"/>
      <c r="L10" s="63" t="str">
        <f>IF(H10&lt;&gt;J10,"The amount reported for 1600 food service revenue from the Food Service AFR does not agree to the amount in the Accounting Data Tab. Please verify the amounts and ensure they agree.","")</f>
        <v/>
      </c>
    </row>
    <row r="11" spans="1:14" x14ac:dyDescent="0.25">
      <c r="A11" s="3" t="s">
        <v>37</v>
      </c>
      <c r="B11" s="700" t="s">
        <v>38</v>
      </c>
      <c r="C11" s="700"/>
      <c r="H11" s="593">
        <f>-(SUMIFS('Accounting data'!$G$2:$G$37003,'Accounting data'!$K$2:$K$37003,"1700*"))+SUMIFS('Accounting data'!$G$2:$G$37003,'Accounting data'!$H$2:$H$37003,"9999*",'Accounting data'!$K$2:$K$37003,"1700*")</f>
        <v>0</v>
      </c>
      <c r="I11" s="612" t="s">
        <v>37</v>
      </c>
      <c r="J11" s="63"/>
      <c r="K11" s="63"/>
      <c r="L11" s="63"/>
    </row>
    <row r="12" spans="1:14" x14ac:dyDescent="0.25">
      <c r="A12" s="65" t="s">
        <v>39</v>
      </c>
      <c r="B12" s="700" t="s">
        <v>40</v>
      </c>
      <c r="C12" s="700"/>
      <c r="D12" s="700"/>
      <c r="E12" s="700"/>
      <c r="F12" s="700"/>
      <c r="H12" s="593">
        <f>-(SUMIFS('Accounting data'!$G$2:$G$37003,'Accounting data'!$K$2:$K$37003,"1750*"))+SUMIFS('Accounting data'!$G$2:$G$37003,'Accounting data'!$H$2:$H$37003,"9999*",'Accounting data'!$K$2:$K$37003,"1750*")</f>
        <v>0</v>
      </c>
      <c r="I12" s="624" t="s">
        <v>39</v>
      </c>
      <c r="J12" s="63"/>
      <c r="K12" s="63"/>
      <c r="L12" s="63"/>
    </row>
    <row r="13" spans="1:14" x14ac:dyDescent="0.25">
      <c r="A13" s="66" t="s">
        <v>41</v>
      </c>
      <c r="B13" s="700" t="s">
        <v>42</v>
      </c>
      <c r="C13" s="700"/>
      <c r="H13" s="593">
        <f>-(SUMIFS('Accounting data'!$G$2:$G$37003,'Accounting data'!$K$2:$K$37003,"1790*"))+SUMIFS('Accounting data'!$G$2:$G$37003,'Accounting data'!$H$2:$H$37003,"9999*",'Accounting data'!$K$2:$K$37003,"1790*")</f>
        <v>0</v>
      </c>
      <c r="I13" s="624" t="s">
        <v>41</v>
      </c>
      <c r="J13" s="67"/>
      <c r="K13" s="63"/>
      <c r="L13" s="63"/>
    </row>
    <row r="14" spans="1:14" x14ac:dyDescent="0.25">
      <c r="A14" s="66" t="s">
        <v>43</v>
      </c>
      <c r="B14" s="700" t="s">
        <v>44</v>
      </c>
      <c r="C14" s="700"/>
      <c r="H14" s="593">
        <f>-(SUMIFS('Accounting data'!$G$2:$G$37003,'Accounting data'!$K$2:$K$37003,"1800*"))+SUMIFS('Accounting data'!$G$2:$G$37003,'Accounting data'!$H$2:$H$37003,"9999*",'Accounting data'!$K$2:$K$37003,"1800*")</f>
        <v>0</v>
      </c>
      <c r="I14" s="624" t="s">
        <v>43</v>
      </c>
      <c r="J14" s="63"/>
      <c r="K14" s="63"/>
      <c r="L14" s="63"/>
    </row>
    <row r="15" spans="1:14" x14ac:dyDescent="0.25">
      <c r="A15" s="66" t="s">
        <v>45</v>
      </c>
      <c r="B15" t="s">
        <v>46</v>
      </c>
      <c r="H15" s="593">
        <f>-(SUMIFS('Accounting data'!$G$2:$G$37003,'Accounting data'!$K$2:$K$37003,"1900*"))+SUMIFS('Accounting data'!$G$2:$G$37003,'Accounting data'!$H$2:$H$37003,"9999*",'Accounting data'!$K$2:$K$37003,"1900*")</f>
        <v>0</v>
      </c>
      <c r="I15" s="624" t="s">
        <v>45</v>
      </c>
      <c r="J15" s="63"/>
      <c r="K15" s="63"/>
      <c r="L15" s="63"/>
    </row>
    <row r="16" spans="1:14" x14ac:dyDescent="0.25">
      <c r="A16" s="66" t="s">
        <v>47</v>
      </c>
      <c r="B16" s="700" t="s">
        <v>48</v>
      </c>
      <c r="C16" s="700"/>
      <c r="H16" s="593">
        <f>-(SUMIFS('Accounting data'!$G$2:$G$37003,'Accounting data'!$K$2:$K$37003,"1920*"))+SUMIFS('Accounting data'!$G$2:$G$37003,'Accounting data'!$H$2:$H$37003,"9999*",'Accounting data'!$K$2:$K$37003,"1920*")</f>
        <v>0</v>
      </c>
      <c r="I16" s="624" t="s">
        <v>47</v>
      </c>
      <c r="J16" s="63"/>
      <c r="K16" s="63"/>
      <c r="L16" s="63"/>
    </row>
    <row r="17" spans="1:27" ht="14.4" x14ac:dyDescent="0.3">
      <c r="A17" s="66" t="s">
        <v>49</v>
      </c>
      <c r="B17" s="700" t="s">
        <v>50</v>
      </c>
      <c r="C17" s="700"/>
      <c r="D17" s="720"/>
      <c r="E17" s="721"/>
      <c r="F17" s="721"/>
      <c r="H17" s="593">
        <f>-(SUMIFS('Accounting data'!$G$2:$G$37003,'Accounting data'!$K$2:$K$37003,"Other Revenue from Local Sources"))+SUMIFS('Accounting data'!$G$2:$G$37003,'Accounting data'!$H$2:$H$37003,"9999*",'Accounting data'!$K$2:$K$37003,"Other Revenue from Local Sources")</f>
        <v>0</v>
      </c>
      <c r="I17" s="624" t="s">
        <v>49</v>
      </c>
      <c r="J17" s="63"/>
      <c r="K17" s="63"/>
      <c r="L17" s="63"/>
      <c r="AA17" s="50" t="str">
        <f>IF(OR(AND(D17="",H17&lt;&gt;0),AND(D22="",H22&lt;&gt;0),AND(D29="",H29&lt;&gt;0),AND(D37="",H37&lt;&gt;0)),"yes","")</f>
        <v/>
      </c>
    </row>
    <row r="18" spans="1:27" x14ac:dyDescent="0.25">
      <c r="A18" s="66" t="s">
        <v>51</v>
      </c>
      <c r="B18" s="700" t="s">
        <v>1164</v>
      </c>
      <c r="C18" s="700"/>
      <c r="H18" s="592">
        <f>SUM(H5:H17)</f>
        <v>63</v>
      </c>
      <c r="I18" s="624" t="s">
        <v>51</v>
      </c>
      <c r="J18" s="63"/>
      <c r="K18" s="63"/>
      <c r="L18" s="63"/>
    </row>
    <row r="19" spans="1:27" x14ac:dyDescent="0.25">
      <c r="A19" s="590" t="s">
        <v>52</v>
      </c>
      <c r="B19" s="590"/>
      <c r="H19" s="28"/>
      <c r="I19" s="612" t="s">
        <v>20</v>
      </c>
      <c r="J19" s="63"/>
      <c r="K19" s="63"/>
      <c r="L19" s="63"/>
    </row>
    <row r="20" spans="1:27" x14ac:dyDescent="0.25">
      <c r="A20" s="66" t="s">
        <v>53</v>
      </c>
      <c r="B20" s="700" t="s">
        <v>54</v>
      </c>
      <c r="C20" s="700"/>
      <c r="H20" s="593">
        <f>-(SUMIFS('Accounting data'!$G$2:$G$37003,'Accounting data'!$K$2:$K$37003,"2100*"))+SUMIFS('Accounting data'!$G$2:$G$37003,'Accounting data'!$H$2:$H$37003,"9999*",'Accounting data'!$K$2:$K$37003,"2100*")</f>
        <v>0</v>
      </c>
      <c r="I20" s="624" t="s">
        <v>53</v>
      </c>
      <c r="J20" s="63"/>
      <c r="K20" s="63"/>
      <c r="L20" s="63"/>
    </row>
    <row r="21" spans="1:27" x14ac:dyDescent="0.25">
      <c r="A21" s="66" t="s">
        <v>55</v>
      </c>
      <c r="B21" s="700" t="s">
        <v>56</v>
      </c>
      <c r="C21" s="700"/>
      <c r="H21" s="593">
        <f>-(SUMIFS('Accounting data'!$G$2:$G$37003,'Accounting data'!$K$2:$K$37003,"2200*"))+SUMIFS('Accounting data'!$G$2:$G$37003,'Accounting data'!$H$2:$H$37003,"9999*",'Accounting data'!$K$2:$K$37003,"2200*")</f>
        <v>0</v>
      </c>
      <c r="I21" s="624" t="s">
        <v>55</v>
      </c>
      <c r="J21" s="63"/>
      <c r="K21" s="63"/>
      <c r="L21" s="63"/>
    </row>
    <row r="22" spans="1:27" ht="14.4" x14ac:dyDescent="0.3">
      <c r="A22" s="66" t="s">
        <v>57</v>
      </c>
      <c r="B22" s="700" t="s">
        <v>58</v>
      </c>
      <c r="C22" s="700"/>
      <c r="D22" s="720"/>
      <c r="E22" s="721"/>
      <c r="F22" s="721"/>
      <c r="H22" s="593">
        <f>-(SUMIFS('Accounting data'!$G$2:$G$37003,'Accounting data'!$K$2:$K$37003,"Other Revenue from Intermediate Sources"))+SUMIFS('Accounting data'!$G$2:$G$37003,'Accounting data'!$H$2:$H$37003,"9999*",'Accounting data'!$K$2:$K$37003,"Other Revenue from Intermediate Sources")</f>
        <v>0</v>
      </c>
      <c r="I22" s="624" t="s">
        <v>57</v>
      </c>
      <c r="J22" s="68"/>
      <c r="K22" s="68"/>
      <c r="L22" s="68"/>
      <c r="M22" s="69"/>
    </row>
    <row r="23" spans="1:27" x14ac:dyDescent="0.25">
      <c r="A23" s="66" t="s">
        <v>59</v>
      </c>
      <c r="B23" s="700" t="s">
        <v>1181</v>
      </c>
      <c r="C23" s="700"/>
      <c r="H23" s="592">
        <f>SUM(H20:H22)</f>
        <v>0</v>
      </c>
      <c r="I23" s="624" t="s">
        <v>59</v>
      </c>
      <c r="J23" s="63"/>
      <c r="K23" s="63"/>
      <c r="L23" s="63"/>
    </row>
    <row r="24" spans="1:27" x14ac:dyDescent="0.25">
      <c r="A24" s="590" t="s">
        <v>60</v>
      </c>
      <c r="B24" s="590"/>
      <c r="H24" s="28"/>
      <c r="I24" s="612"/>
      <c r="J24" s="63"/>
      <c r="K24" s="63"/>
      <c r="L24" s="63"/>
    </row>
    <row r="25" spans="1:27" x14ac:dyDescent="0.25">
      <c r="A25" s="66" t="s">
        <v>61</v>
      </c>
      <c r="B25" s="700" t="s">
        <v>62</v>
      </c>
      <c r="C25" s="700"/>
      <c r="H25" s="593">
        <f>-(SUMIFS('Accounting data'!$G$2:$G$37003,'Accounting data'!$K$2:$K$37003,"3110*"))+SUMIFS('Accounting data'!$G$2:$G$37003,'Accounting data'!$H$2:$H$37003,"9999*",'Accounting data'!$K$2:$K$37003,"3110*")</f>
        <v>173619</v>
      </c>
      <c r="I25" s="624" t="s">
        <v>61</v>
      </c>
      <c r="J25" s="63"/>
      <c r="K25" s="63"/>
      <c r="L25" s="63"/>
    </row>
    <row r="26" spans="1:27" x14ac:dyDescent="0.25">
      <c r="A26" s="65" t="s">
        <v>63</v>
      </c>
      <c r="B26" s="700" t="s">
        <v>64</v>
      </c>
      <c r="C26" s="700"/>
      <c r="H26" s="593">
        <f>-(SUMIFS('Accounting data'!$G$2:$G$37003,'Accounting data'!$K$2:$K$37003,"3130*"))+SUMIFS('Accounting data'!$G$2:$G$37003,'Accounting data'!$H$2:$H$37003,"9999*",'Accounting data'!$K$2:$K$37003,"3130*")</f>
        <v>7549</v>
      </c>
      <c r="I26" s="624" t="s">
        <v>63</v>
      </c>
      <c r="J26" s="63"/>
      <c r="K26" s="63"/>
      <c r="L26" s="63"/>
    </row>
    <row r="27" spans="1:27" x14ac:dyDescent="0.25">
      <c r="A27" s="64" t="s">
        <v>65</v>
      </c>
      <c r="B27" s="700" t="s">
        <v>66</v>
      </c>
      <c r="C27" s="700"/>
      <c r="H27" s="593">
        <f>-(SUMIFS('Accounting data'!$G$2:$G$37003,'Accounting data'!$K$2:$K$37003,"3200*"))+SUMIFS('Accounting data'!$G$2:$G$37003,'Accounting data'!$H$2:$H$37003,"9999*",'Accounting data'!$K$2:$K$37003,"3200*")</f>
        <v>21565</v>
      </c>
      <c r="I27" s="624" t="s">
        <v>65</v>
      </c>
      <c r="J27" s="68"/>
      <c r="K27" s="68"/>
      <c r="L27" s="68"/>
      <c r="M27" s="69"/>
    </row>
    <row r="28" spans="1:27" x14ac:dyDescent="0.25">
      <c r="A28" s="66" t="s">
        <v>67</v>
      </c>
      <c r="B28" s="700" t="s">
        <v>68</v>
      </c>
      <c r="C28" s="700"/>
      <c r="H28" s="593">
        <f>-(SUMIFS('Accounting data'!$G$2:$G$37003,'Accounting data'!$K$2:$K$37003,"3900*"))+SUMIFS('Accounting data'!$G$2:$G$37003,'Accounting data'!$H$2:$H$37003,"9999*",'Accounting data'!$K$2:$K$37003,"3900*")</f>
        <v>0</v>
      </c>
      <c r="I28" s="624" t="s">
        <v>67</v>
      </c>
      <c r="J28" s="63"/>
      <c r="K28" s="63"/>
      <c r="L28" s="63"/>
    </row>
    <row r="29" spans="1:27" ht="14.4" x14ac:dyDescent="0.3">
      <c r="A29" s="66" t="s">
        <v>69</v>
      </c>
      <c r="B29" s="700" t="s">
        <v>70</v>
      </c>
      <c r="C29" s="700"/>
      <c r="D29" s="720"/>
      <c r="E29" s="721"/>
      <c r="F29" s="721"/>
      <c r="H29" s="593">
        <f>-(SUMIFS('Accounting data'!$G$2:$G$37003,'Accounting data'!$K$2:$K$37003,"Other Revenue from State Sources"))+SUMIFS('Accounting data'!$G$2:$G$37003,'Accounting data'!$H$2:$H$37003,"9999*",'Accounting data'!$K$2:$K$37003,"Other Revenue from State Sources")</f>
        <v>0</v>
      </c>
      <c r="I29" s="624" t="s">
        <v>69</v>
      </c>
      <c r="J29" s="63"/>
      <c r="K29" s="63"/>
      <c r="L29" s="63"/>
    </row>
    <row r="30" spans="1:27" x14ac:dyDescent="0.25">
      <c r="A30" s="66" t="s">
        <v>71</v>
      </c>
      <c r="B30" s="700" t="s">
        <v>1182</v>
      </c>
      <c r="C30" s="700"/>
      <c r="H30" s="592">
        <f>SUM(H25:H29)</f>
        <v>202733</v>
      </c>
      <c r="I30" s="624" t="s">
        <v>71</v>
      </c>
      <c r="J30" s="63"/>
      <c r="K30" s="63"/>
      <c r="L30" s="63"/>
    </row>
    <row r="31" spans="1:27" x14ac:dyDescent="0.25">
      <c r="A31" s="609" t="s">
        <v>72</v>
      </c>
      <c r="B31" s="590"/>
      <c r="H31" s="28"/>
      <c r="I31" s="612"/>
      <c r="J31" s="63"/>
      <c r="K31" s="63"/>
      <c r="L31" s="63"/>
    </row>
    <row r="32" spans="1:27" x14ac:dyDescent="0.25">
      <c r="A32" s="64" t="s">
        <v>73</v>
      </c>
      <c r="B32" s="700" t="s">
        <v>74</v>
      </c>
      <c r="C32" s="700"/>
      <c r="D32" s="700"/>
      <c r="E32" s="700"/>
      <c r="F32" s="700"/>
      <c r="H32" s="593">
        <f>-(SUMIFS('Accounting data'!$G$2:$G$37003,'Accounting data'!$K$2:$K$37003,"4100*"))+SUMIFS('Accounting data'!$G$2:$G$37003,'Accounting data'!$H$2:$H$37003,"9999*",'Accounting data'!$K$2:$K$37003,"4100*")</f>
        <v>0</v>
      </c>
      <c r="I32" s="624" t="s">
        <v>73</v>
      </c>
      <c r="J32" s="63"/>
      <c r="K32" s="63"/>
      <c r="L32" s="63"/>
      <c r="M32" s="589"/>
    </row>
    <row r="33" spans="1:12" x14ac:dyDescent="0.25">
      <c r="A33" s="64" t="s">
        <v>75</v>
      </c>
      <c r="B33" s="700" t="s">
        <v>76</v>
      </c>
      <c r="C33" s="700"/>
      <c r="D33" s="700"/>
      <c r="E33" s="700"/>
      <c r="F33" s="700"/>
      <c r="H33" s="593">
        <f>-(SUMIFS('Accounting data'!$G$2:$G$37003,'Accounting data'!$K$2:$K$37003,"4200*"))+SUMIFS('Accounting data'!$G$2:$G$37003,'Accounting data'!$H$2:$H$37003,"9999*",'Accounting data'!$K$2:$K$37003,"4200*")</f>
        <v>1843</v>
      </c>
      <c r="I33" s="624" t="s">
        <v>75</v>
      </c>
      <c r="J33" s="68"/>
      <c r="K33" s="68"/>
      <c r="L33" s="63"/>
    </row>
    <row r="34" spans="1:12" x14ac:dyDescent="0.25">
      <c r="A34" s="66" t="s">
        <v>77</v>
      </c>
      <c r="B34" s="700" t="s">
        <v>78</v>
      </c>
      <c r="C34" s="700"/>
      <c r="D34" s="700"/>
      <c r="E34" s="700"/>
      <c r="F34" s="700"/>
      <c r="G34" s="700"/>
      <c r="H34" s="593">
        <f>-(SUMIFS('Accounting data'!$G$2:$G$37003,'Accounting data'!$K$2:$K$37003,"4700*"))+SUMIFS('Accounting data'!$G$2:$G$37003,'Accounting data'!$H$2:$H$37003,"9999*",'Accounting data'!$K$2:$K$37003,"4700*")</f>
        <v>0</v>
      </c>
      <c r="I34" s="624" t="s">
        <v>77</v>
      </c>
      <c r="J34" s="68"/>
      <c r="K34" s="68"/>
      <c r="L34" s="63"/>
    </row>
    <row r="35" spans="1:12" x14ac:dyDescent="0.25">
      <c r="A35" s="66" t="s">
        <v>79</v>
      </c>
      <c r="B35" s="612" t="s">
        <v>80</v>
      </c>
      <c r="H35" s="593">
        <f>-(SUMIFS('Accounting data'!$G$2:$G$37003,'Accounting data'!$K$2:$K$37003,"4800*"))+SUMIFS('Accounting data'!$G$2:$G$37003,'Accounting data'!$H$2:$H$37003,"9999*",'Accounting data'!$K$2:$K$37003,"4800*")</f>
        <v>0</v>
      </c>
      <c r="I35" s="624" t="s">
        <v>79</v>
      </c>
      <c r="J35" s="63"/>
      <c r="K35" s="63"/>
      <c r="L35" s="63"/>
    </row>
    <row r="36" spans="1:12" x14ac:dyDescent="0.25">
      <c r="A36" s="66" t="s">
        <v>81</v>
      </c>
      <c r="B36" s="700" t="s">
        <v>82</v>
      </c>
      <c r="C36" s="700"/>
      <c r="D36" s="700"/>
      <c r="E36" s="700"/>
      <c r="F36" s="700"/>
      <c r="G36" s="700"/>
      <c r="H36" s="593">
        <f>-(SUMIFS('Accounting data'!$G$2:$G$37003,'Accounting data'!$K$2:$K$37003,"4900*"))+SUMIFS('Accounting data'!$G$2:$G$37003,'Accounting data'!$H$2:$H$37003,"9999*",'Accounting data'!$K$2:$K$37003,"4900*")</f>
        <v>0</v>
      </c>
      <c r="I36" s="624" t="s">
        <v>81</v>
      </c>
      <c r="J36" s="63"/>
      <c r="K36" s="63"/>
      <c r="L36" s="63"/>
    </row>
    <row r="37" spans="1:12" ht="14.4" x14ac:dyDescent="0.3">
      <c r="A37" s="66" t="s">
        <v>83</v>
      </c>
      <c r="B37" s="700" t="s">
        <v>84</v>
      </c>
      <c r="C37" s="700"/>
      <c r="D37" s="720" t="s">
        <v>1334</v>
      </c>
      <c r="E37" s="721"/>
      <c r="F37" s="721"/>
      <c r="H37" s="593">
        <f>-(SUMIFS('Accounting data'!$G$2:$G$37003,'Accounting data'!$K$2:$K$37003,"Other Revenue from Federal Sources"))+SUMIFS('Accounting data'!$G$2:$G$37003,'Accounting data'!$H$2:$H$37003,"9999*",'Accounting data'!$K$2:$K$37003,"Other Revenue from Federal Sources")</f>
        <v>2400</v>
      </c>
      <c r="I37" s="624" t="s">
        <v>83</v>
      </c>
      <c r="J37" s="63"/>
      <c r="K37" s="63"/>
      <c r="L37" s="63"/>
    </row>
    <row r="38" spans="1:12" x14ac:dyDescent="0.25">
      <c r="A38" s="66" t="s">
        <v>85</v>
      </c>
      <c r="B38" s="700" t="s">
        <v>1183</v>
      </c>
      <c r="C38" s="700"/>
      <c r="H38" s="674">
        <f>SUM(H32:H37)</f>
        <v>4243</v>
      </c>
      <c r="I38" s="624" t="s">
        <v>85</v>
      </c>
      <c r="J38" s="63"/>
      <c r="K38" s="63"/>
      <c r="L38" s="63"/>
    </row>
    <row r="39" spans="1:12" x14ac:dyDescent="0.25">
      <c r="A39" s="3"/>
      <c r="B39" s="590"/>
      <c r="H39" s="28"/>
      <c r="I39" s="612"/>
      <c r="J39" s="63"/>
      <c r="K39" s="63"/>
      <c r="L39" s="63"/>
    </row>
    <row r="40" spans="1:12" x14ac:dyDescent="0.25">
      <c r="A40" s="70" t="s">
        <v>86</v>
      </c>
      <c r="B40" s="719" t="s">
        <v>87</v>
      </c>
      <c r="C40" s="719"/>
      <c r="D40" s="719"/>
      <c r="H40" s="593">
        <f>SUM(H18,H23,H30,H38)</f>
        <v>207039</v>
      </c>
      <c r="I40" s="624" t="s">
        <v>86</v>
      </c>
      <c r="J40" s="63"/>
      <c r="K40" s="63"/>
      <c r="L40" s="63"/>
    </row>
  </sheetData>
  <sheetProtection formatCells="0" formatColumns="0" formatRows="0"/>
  <mergeCells count="40">
    <mergeCell ref="B29:C29"/>
    <mergeCell ref="B13:C13"/>
    <mergeCell ref="B14:C14"/>
    <mergeCell ref="B17:C17"/>
    <mergeCell ref="B26:C26"/>
    <mergeCell ref="B16:C16"/>
    <mergeCell ref="B23:C23"/>
    <mergeCell ref="B25:C25"/>
    <mergeCell ref="M1:N1"/>
    <mergeCell ref="D12:F12"/>
    <mergeCell ref="B7:D7"/>
    <mergeCell ref="D22:F22"/>
    <mergeCell ref="B21:C21"/>
    <mergeCell ref="J7:K9"/>
    <mergeCell ref="J10:K10"/>
    <mergeCell ref="H1:I1"/>
    <mergeCell ref="B8:D8"/>
    <mergeCell ref="B9:C9"/>
    <mergeCell ref="B10:C10"/>
    <mergeCell ref="D17:F17"/>
    <mergeCell ref="A1:B1"/>
    <mergeCell ref="B22:C22"/>
    <mergeCell ref="B12:C12"/>
    <mergeCell ref="B18:C18"/>
    <mergeCell ref="B33:F33"/>
    <mergeCell ref="B5:D5"/>
    <mergeCell ref="B40:D40"/>
    <mergeCell ref="B34:G34"/>
    <mergeCell ref="B36:G36"/>
    <mergeCell ref="B37:C37"/>
    <mergeCell ref="B38:C38"/>
    <mergeCell ref="D37:F37"/>
    <mergeCell ref="B6:D6"/>
    <mergeCell ref="B11:C11"/>
    <mergeCell ref="B30:C30"/>
    <mergeCell ref="B28:C28"/>
    <mergeCell ref="B32:F32"/>
    <mergeCell ref="D29:F29"/>
    <mergeCell ref="B27:C27"/>
    <mergeCell ref="B20:C20"/>
  </mergeCells>
  <conditionalFormatting sqref="D17 D22 D29 D37">
    <cfRule type="expression" dxfId="72" priority="1" stopIfTrue="1">
      <formula>AND($D17="",$H17&lt;&gt;0)</formula>
    </cfRule>
  </conditionalFormatting>
  <hyperlinks>
    <hyperlink ref="A27" location="Restricted3200" display="16." xr:uid="{00000000-0004-0000-0100-000000000000}"/>
    <hyperlink ref="A32" location="Unrestricted_Restricted_4100_4300" display="20." xr:uid="{00000000-0004-0000-0100-000001000000}"/>
    <hyperlink ref="A10" location="Food_Service_1600" display="6." xr:uid="{00000000-0004-0000-0100-000002000000}"/>
    <hyperlink ref="A33" location="Unrestricted_Restricted_4200_4500" display="26." xr:uid="{00000000-0004-0000-0100-000003000000}"/>
  </hyperlinks>
  <pageMargins left="0.75" right="0.25" top="0.25" bottom="0.25" header="0.5" footer="0.15"/>
  <pageSetup paperSize="5" orientation="landscape" r:id="rId1"/>
  <headerFooter>
    <oddFooter>&amp;LRev. 8/24 Arizona Department of Education and Auditor General&amp;CFY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48"/>
  <sheetViews>
    <sheetView showGridLines="0" zoomScaleNormal="100" workbookViewId="0">
      <selection activeCell="J10" sqref="J10"/>
    </sheetView>
  </sheetViews>
  <sheetFormatPr defaultColWidth="9.33203125" defaultRowHeight="12.75" customHeight="1" x14ac:dyDescent="0.25"/>
  <cols>
    <col min="1" max="1" width="20.77734375" customWidth="1"/>
    <col min="2" max="2" width="34.109375" customWidth="1"/>
    <col min="3" max="3" width="3.77734375" customWidth="1"/>
    <col min="4" max="5" width="12.77734375" customWidth="1"/>
    <col min="6" max="6" width="14.77734375" customWidth="1"/>
    <col min="7" max="12" width="12.77734375" customWidth="1"/>
    <col min="13" max="13" width="3" customWidth="1"/>
    <col min="14" max="14" width="9.33203125" customWidth="1"/>
  </cols>
  <sheetData>
    <row r="1" spans="1:32" ht="12" customHeight="1" x14ac:dyDescent="0.25">
      <c r="A1" s="590" t="s">
        <v>0</v>
      </c>
      <c r="B1" s="723" t="str">
        <f>'Cover Page'!D1</f>
        <v>AIBT Non-Profit Charter High School</v>
      </c>
      <c r="C1" s="723"/>
      <c r="F1" s="61" t="s">
        <v>1</v>
      </c>
      <c r="G1" s="611" t="str">
        <f>'Cover Page'!M1</f>
        <v>Maricopa</v>
      </c>
      <c r="J1" s="61"/>
      <c r="K1" s="61" t="s">
        <v>2</v>
      </c>
      <c r="L1" s="610" t="str">
        <f>'Cover Page'!R1</f>
        <v>078286000</v>
      </c>
    </row>
    <row r="2" spans="1:32" ht="3.75" customHeight="1" x14ac:dyDescent="0.25">
      <c r="L2" s="608"/>
    </row>
    <row r="3" spans="1:32" ht="15.75" customHeight="1" x14ac:dyDescent="0.25">
      <c r="A3" s="71"/>
      <c r="B3" s="72"/>
      <c r="C3" s="73"/>
      <c r="D3" s="71"/>
      <c r="E3" s="74" t="s">
        <v>88</v>
      </c>
      <c r="F3" s="615" t="s">
        <v>89</v>
      </c>
      <c r="G3" s="75"/>
      <c r="H3" s="76"/>
      <c r="I3" s="729" t="s">
        <v>90</v>
      </c>
      <c r="J3" s="729"/>
      <c r="K3" s="729"/>
      <c r="L3" s="726" t="s">
        <v>91</v>
      </c>
    </row>
    <row r="4" spans="1:32" ht="12" customHeight="1" x14ac:dyDescent="0.25">
      <c r="A4" s="77" t="s">
        <v>92</v>
      </c>
      <c r="C4" s="78"/>
      <c r="D4" s="79" t="s">
        <v>93</v>
      </c>
      <c r="E4" s="80" t="s">
        <v>94</v>
      </c>
      <c r="F4" s="81" t="s">
        <v>95</v>
      </c>
      <c r="G4" s="82" t="s">
        <v>96</v>
      </c>
      <c r="H4" s="79" t="s">
        <v>97</v>
      </c>
      <c r="I4" s="83"/>
      <c r="J4" s="83"/>
      <c r="K4" s="615" t="s">
        <v>98</v>
      </c>
      <c r="L4" s="727"/>
    </row>
    <row r="5" spans="1:32" ht="11.25" customHeight="1" x14ac:dyDescent="0.25">
      <c r="A5" s="84" t="s">
        <v>99</v>
      </c>
      <c r="B5" s="2"/>
      <c r="C5" s="85"/>
      <c r="D5" s="620">
        <v>6100</v>
      </c>
      <c r="E5" s="86">
        <v>6200</v>
      </c>
      <c r="F5" s="86" t="s">
        <v>100</v>
      </c>
      <c r="G5" s="621">
        <v>6600</v>
      </c>
      <c r="H5" s="620">
        <v>6800</v>
      </c>
      <c r="I5" s="614" t="s">
        <v>101</v>
      </c>
      <c r="J5" s="86" t="s">
        <v>23</v>
      </c>
      <c r="K5" s="86" t="s">
        <v>102</v>
      </c>
      <c r="L5" s="728"/>
    </row>
    <row r="6" spans="1:32" ht="12" customHeight="1" x14ac:dyDescent="0.25">
      <c r="A6" s="87" t="s">
        <v>103</v>
      </c>
      <c r="B6" s="72"/>
      <c r="C6" s="73"/>
      <c r="D6" s="88"/>
      <c r="E6" s="88"/>
      <c r="F6" s="88"/>
      <c r="G6" s="88"/>
      <c r="H6" s="88"/>
      <c r="I6" s="88"/>
      <c r="J6" s="88"/>
      <c r="K6" s="88"/>
      <c r="L6" s="733">
        <f>IF(J7=K7,0,IF(K7&gt;0,(J7-K7)/K7,"--"))</f>
        <v>58.260300000000001</v>
      </c>
      <c r="S6" s="589"/>
    </row>
    <row r="7" spans="1:32" ht="12" customHeight="1" x14ac:dyDescent="0.25">
      <c r="A7" s="89" t="s">
        <v>104</v>
      </c>
      <c r="C7" s="90" t="s">
        <v>24</v>
      </c>
      <c r="D7" s="596">
        <f>SUMIFS('Accounting data'!$G$2:$G$37003,'Accounting data'!$H$2:$H$37003,"1000*",'Accounting data'!$I$2:$I$37003,"1*",'Accounting data'!$J$2:$J$37003,"1*",'Accounting data'!$K$2:$K$37003,"61*")+SUMIFS('Accounting data'!$G$2:$G$37003,'Accounting data'!$H$2:$H$37003,"1500*",'Accounting data'!$I$2:$I$37003,"1*",'Accounting data'!$J$2:$J$37003,"1*",'Accounting data'!$K$2:$K$37003,"61*")</f>
        <v>200</v>
      </c>
      <c r="E7" s="596">
        <f>SUMIFS('Accounting data'!$G$2:$G$37003,'Accounting data'!$H$2:$H$37003,"1000*",'Accounting data'!$I$2:$I$37003,"1*",'Accounting data'!$J$2:$J$37003,"1*",'Accounting data'!$K$2:$K$37003,"62*")+SUMIFS('Accounting data'!$G$2:$G$37003,'Accounting data'!$H$2:$H$37003,"1500*",'Accounting data'!$I$2:$I$37003,"1*",'Accounting data'!$J$2:$J$37003,"1*",'Accounting data'!$K$2:$K$37003,"62*")</f>
        <v>7198</v>
      </c>
      <c r="F7" s="596">
        <f>SUMIFS('Accounting data'!$G$2:$G$37003,'Accounting data'!$H$2:$H$37003,"1000*",'Accounting data'!$I$2:$I$37003,"1*",'Accounting data'!$J$2:$J$37003,"1*",'Accounting data'!$K$2:$K$37003,"63*")+SUMIFS('Accounting data'!$G$2:$G$37003,'Accounting data'!$H$2:$H$37003,"1500*",'Accounting data'!$I$2:$I$37003,"1*",'Accounting data'!$J$2:$J$37003,"1*",'Accounting data'!$K$2:$K$37003,"63*")+SUMIFS('Accounting data'!$G$2:$G$37003,'Accounting data'!$H$2:$H$37003,"1500*",'Accounting data'!$I$2:$I$37003,"1*",'Accounting data'!$J$2:$J$37003,"1*",'Accounting data'!$K$2:$K$37003,"6432*")+SUMIFS('Accounting data'!$G$2:$G$37003,'Accounting data'!$H$2:$H$37003,"1500*",'Accounting data'!$I$2:$I$37003,"1*",'Accounting data'!$J$2:$J$37003,"1*",'Accounting data'!$K$2:$K$37003,"6432*")+SUMIFS('Accounting data'!$G$2:$G$37003,'Accounting data'!$H$2:$H$37003,"1500*",'Accounting data'!$I$2:$I$37003,"1*",'Accounting data'!$J$2:$J$37003,"1*",'Accounting data'!$K$2:$K$37003,"6441*")+SUMIFS('Accounting data'!$G$2:$G$37003,'Accounting data'!$H$2:$H$37003,"1500*",'Accounting data'!$I$2:$I$37003,"1*",'Accounting data'!$J$2:$J$37003,"1*",'Accounting data'!$K$2:$K$37003,"6441*")+SUMIFS('Accounting data'!$G$2:$G$37003,'Accounting data'!$H$2:$H$37003,"1500*",'Accounting data'!$I$2:$I$37003,"1*",'Accounting data'!$J$2:$J$37003,"1*",'Accounting data'!$K$2:$K$37003,"6531*")+SUMIFS('Accounting data'!$G$2:$G$37003,'Accounting data'!$H$2:$H$37003,"1500*",'Accounting data'!$I$2:$I$37003,"1*",'Accounting data'!$J$2:$J$37003,"1*",'Accounting data'!$K$2:$K$37003,"6531*")</f>
        <v>0</v>
      </c>
      <c r="G7" s="596">
        <f>SUMIFS('Accounting data'!$G$2:$G$37003,'Accounting data'!$H$2:$H$37003,"1000*",'Accounting data'!$I$2:$I$37003,"1*",'Accounting data'!$J$2:$J$37003,"1*",'Accounting data'!$K$2:$K$37003,"66*")+SUMIFS('Accounting data'!$G$2:$G$37003,'Accounting data'!$H$2:$H$37003,"1500*",'Accounting data'!$I$2:$I$37003,"1*",'Accounting data'!$J$2:$J$37003,"1*",'Accounting data'!$K$2:$K$37003,"66*")</f>
        <v>54</v>
      </c>
      <c r="H7" s="596">
        <f>SUMIFS('Accounting data'!$G$2:$G$37003,'Accounting data'!$H$2:$H$37003,"1000*",'Accounting data'!$I$2:$I$37003,"1*",'Accounting data'!$J$2:$J$37003,"1*",'Accounting data'!$K$2:$K$37003,"68*")+SUMIFS('Accounting data'!$G$2:$G$37003,'Accounting data'!$H$2:$H$37003,"1500*",'Accounting data'!$I$2:$I$37003,"1*",'Accounting data'!$J$2:$J$37003,"1*",'Accounting data'!$K$2:$K$37003,"68*")</f>
        <v>1200</v>
      </c>
      <c r="I7" s="596">
        <f>[3]!SP1000P100F1000</f>
        <v>49478</v>
      </c>
      <c r="J7" s="596">
        <f>SUM(D7:H7)</f>
        <v>8652</v>
      </c>
      <c r="K7" s="596">
        <f>[1]!SP1000P100F1000</f>
        <v>146</v>
      </c>
      <c r="L7" s="734"/>
      <c r="M7" s="91" t="s">
        <v>24</v>
      </c>
      <c r="S7" s="589"/>
    </row>
    <row r="8" spans="1:32" ht="12" customHeight="1" x14ac:dyDescent="0.25">
      <c r="A8" s="89" t="s">
        <v>105</v>
      </c>
      <c r="C8" s="78"/>
      <c r="D8" s="88"/>
      <c r="E8" s="88"/>
      <c r="F8" s="88"/>
      <c r="G8" s="92"/>
      <c r="H8" s="88"/>
      <c r="I8" s="88"/>
      <c r="J8" s="88"/>
      <c r="K8" s="88"/>
      <c r="L8" s="735">
        <f>IF(J9=K9,0,IF(K9&gt;0,(J9-K9)/K9,"--"))</f>
        <v>-1</v>
      </c>
      <c r="M8" s="612"/>
      <c r="S8" s="589"/>
    </row>
    <row r="9" spans="1:32" ht="12" customHeight="1" x14ac:dyDescent="0.25">
      <c r="A9" s="89" t="s">
        <v>106</v>
      </c>
      <c r="C9" s="90" t="s">
        <v>26</v>
      </c>
      <c r="D9" s="596">
        <f>SUMIFS('Accounting data'!$G$2:$G$37003,'Accounting data'!$H$2:$H$37003,"1000*",'Accounting data'!$I$2:$I$37003,"1*",'Accounting data'!$J$2:$J$37003,"21*",'Accounting data'!$K$2:$K$37003,"61*")+SUMIFS('Accounting data'!$G$2:$G$37003,'Accounting data'!$H$2:$H$37003,"1500*",'Accounting data'!$I$2:$I$37003,"1*",'Accounting data'!$J$2:$J$37003,"21*",'Accounting data'!$K$2:$K$37003,"61*")</f>
        <v>0</v>
      </c>
      <c r="E9" s="596">
        <f>SUMIFS('Accounting data'!$G$2:$G$37003,'Accounting data'!$H$2:$H$37003,"1000*",'Accounting data'!$I$2:$I$37003,"1*",'Accounting data'!$J$2:$J$37003,"21*",'Accounting data'!$K$2:$K$37003,"62*")+SUMIFS('Accounting data'!$G$2:$G$37003,'Accounting data'!$H$2:$H$37003,"1500*",'Accounting data'!$I$2:$I$37003,"1*",'Accounting data'!$J$2:$J$37003,"21*",'Accounting data'!$K$2:$K$37003,"62*")</f>
        <v>0</v>
      </c>
      <c r="F9" s="596">
        <f>SUMIFS('Accounting data'!$G$2:$G$37003,'Accounting data'!$H$2:$H$37003,"1000*",'Accounting data'!$I$2:$I$37003,"1*",'Accounting data'!$J$2:$J$37003,"21*",'Accounting data'!$K$2:$K$37003,"63*")+SUMIFS('Accounting data'!$G$2:$G$37003,'Accounting data'!$H$2:$H$37003,"1500*",'Accounting data'!$I$2:$I$37003,"1*",'Accounting data'!$J$2:$J$37003,"21*",'Accounting data'!$K$2:$K$37003,"63*")</f>
        <v>0</v>
      </c>
      <c r="G9" s="596">
        <f>SUMIFS('Accounting data'!$G$2:$G$37003,'Accounting data'!$H$2:$H$37003,"1000*",'Accounting data'!$I$2:$I$37003,"1*",'Accounting data'!$J$2:$J$37003,"21*",'Accounting data'!$K$2:$K$37003,"66*")+SUMIFS('Accounting data'!$G$2:$G$37003,'Accounting data'!$H$2:$H$37003,"1500*",'Accounting data'!$I$2:$I$37003,"1*",'Accounting data'!$J$2:$J$37003,"21*",'Accounting data'!$K$2:$K$37003,"66*")</f>
        <v>0</v>
      </c>
      <c r="H9" s="596">
        <f>SUMIFS('Accounting data'!$G$2:$G$37003,'Accounting data'!$H$2:$H$37003,"1000*",'Accounting data'!$I$2:$I$37003,"1*",'Accounting data'!$J$2:$J$37003,"21*",'Accounting data'!$K$2:$K$37003,"68*")+SUMIFS('Accounting data'!$G$2:$G$37003,'Accounting data'!$H$2:$H$37003,"1500*",'Accounting data'!$I$2:$I$37003,"1*",'Accounting data'!$J$2:$J$37003,"21*",'Accounting data'!$K$2:$K$37003,"68*")</f>
        <v>0</v>
      </c>
      <c r="I9" s="596">
        <f>[3]!SP1000P100F2100</f>
        <v>0</v>
      </c>
      <c r="J9" s="596">
        <f>SUM(D9:H9)</f>
        <v>0</v>
      </c>
      <c r="K9" s="596">
        <f>[1]!SP1000P100F2100</f>
        <v>355</v>
      </c>
      <c r="L9" s="736"/>
      <c r="M9" s="91" t="s">
        <v>26</v>
      </c>
      <c r="N9" s="732" t="str">
        <f>IF('Page 2'!J48=0,"",IF(OR('Page 2'!J9&lt;=0),"The Charter did not report any expenses for student support services on line 2. If the Charter did not have any expense, verify by checking the box in A10 on the Cover Page.",""))</f>
        <v>The Charter did not report any expenses for student support services on line 2. If the Charter did not have any expense, verify by checking the box in A10 on the Cover Page.</v>
      </c>
      <c r="O9" s="732"/>
      <c r="P9" s="732"/>
      <c r="Q9" s="732"/>
      <c r="R9" s="732"/>
      <c r="S9" s="732"/>
      <c r="T9" s="732"/>
      <c r="U9" s="732"/>
      <c r="V9" s="732"/>
      <c r="W9" s="732"/>
      <c r="X9" s="732"/>
      <c r="Y9" s="732"/>
      <c r="Z9" s="732"/>
      <c r="AA9" s="732"/>
      <c r="AB9" s="732"/>
      <c r="AC9" s="732"/>
      <c r="AD9" s="732"/>
      <c r="AE9" s="732"/>
      <c r="AF9" s="732"/>
    </row>
    <row r="10" spans="1:32" ht="12" customHeight="1" x14ac:dyDescent="0.25">
      <c r="A10" s="89" t="s">
        <v>107</v>
      </c>
      <c r="C10" s="90" t="s">
        <v>28</v>
      </c>
      <c r="D10" s="592">
        <f>SUMIFS('Accounting data'!$G$2:$G$37003,'Accounting data'!$H$2:$H$37003,"1000*",'Accounting data'!$I$2:$I$37003,"1*",'Accounting data'!$J$2:$J$37003,"22*",'Accounting data'!$K$2:$K$37003,"61*")+SUMIFS('Accounting data'!$G$2:$G$37003,'Accounting data'!$H$2:$H$37003,"1500*",'Accounting data'!$I$2:$I$37003,"1*",'Accounting data'!$J$2:$J$37003,"22*",'Accounting data'!$K$2:$K$37003,"61*")</f>
        <v>0</v>
      </c>
      <c r="E10" s="592">
        <f>SUMIFS('Accounting data'!$G$2:$G$37003,'Accounting data'!$H$2:$H$37003,"1000*",'Accounting data'!$I$2:$I$37003,"1*",'Accounting data'!$J$2:$J$37003,"22*",'Accounting data'!$K$2:$K$37003,"62*")+SUMIFS('Accounting data'!$G$2:$G$37003,'Accounting data'!$H$2:$H$37003,"1500*",'Accounting data'!$I$2:$I$37003,"1*",'Accounting data'!$J$2:$J$37003,"22*",'Accounting data'!$K$2:$K$37003,"62*")</f>
        <v>0</v>
      </c>
      <c r="F10" s="592">
        <f>SUMIFS('Accounting data'!$G$2:$G$37003,'Accounting data'!$H$2:$H$37003,"1000*",'Accounting data'!$I$2:$I$37003,"1*",'Accounting data'!$J$2:$J$37003,"22*",'Accounting data'!$K$2:$K$37003,"63*")+SUMIFS('Accounting data'!$G$2:$G$37003,'Accounting data'!$H$2:$H$37003,"1500*",'Accounting data'!$I$2:$I$37003,"1*",'Accounting data'!$J$2:$J$37003,"22*",'Accounting data'!$K$2:$K$37003,"63*")</f>
        <v>0</v>
      </c>
      <c r="G10" s="592">
        <f>SUMIFS('Accounting data'!$G$2:$G$37003,'Accounting data'!$H$2:$H$37003,"1000*",'Accounting data'!$I$2:$I$37003,"1*",'Accounting data'!$J$2:$J$37003,"22*",'Accounting data'!$K$2:$K$37003,"66*")+SUMIFS('Accounting data'!$G$2:$G$37003,'Accounting data'!$H$2:$H$37003,"1500*",'Accounting data'!$I$2:$I$37003,"1*",'Accounting data'!$J$2:$J$37003,"22*",'Accounting data'!$K$2:$K$37003,"66*")</f>
        <v>0</v>
      </c>
      <c r="H10" s="592">
        <f>SUMIFS('Accounting data'!$G$2:$G$37003,'Accounting data'!$H$2:$H$37003,"1000*",'Accounting data'!$I$2:$I$37003,"1*",'Accounting data'!$J$2:$J$37003,"22*",'Accounting data'!$K$2:$K$37003,"68*")+SUMIFS('Accounting data'!$G$2:$G$37003,'Accounting data'!$H$2:$H$37003,"1500*",'Accounting data'!$I$2:$I$37003,"1*",'Accounting data'!$J$2:$J$37003,"22*",'Accounting data'!$K$2:$K$37003,"68*")</f>
        <v>0</v>
      </c>
      <c r="I10" s="591">
        <f>[3]!SP1000P100F2200</f>
        <v>0</v>
      </c>
      <c r="J10" s="892">
        <f t="shared" ref="J10:J22" si="0">SUM(D10:H10)</f>
        <v>0</v>
      </c>
      <c r="K10" s="591">
        <f>[1]!SP1000P100F2200</f>
        <v>0</v>
      </c>
      <c r="L10" s="594">
        <f t="shared" ref="L10:L20" si="1">IF(J10=K10,0,IF(K10&gt;0,(J10-K10)/K10,"--"))</f>
        <v>0</v>
      </c>
      <c r="M10" s="91" t="s">
        <v>28</v>
      </c>
      <c r="N10" s="732" t="str">
        <f>IF('Page 2'!J48=0,"",IF(OR('Page 2'!J10&lt;=0),"The Charter did not report any expenses for instructional support services on line 3. If the Charter did not have any expense, verify by checking the box in A12 on the Cover Page.",""))</f>
        <v>The Charter did not report any expenses for instructional support services on line 3. If the Charter did not have any expense, verify by checking the box in A12 on the Cover Page.</v>
      </c>
      <c r="O10" s="732"/>
      <c r="P10" s="732"/>
      <c r="Q10" s="732"/>
      <c r="R10" s="732"/>
      <c r="S10" s="732"/>
      <c r="T10" s="732"/>
      <c r="U10" s="732"/>
      <c r="V10" s="732"/>
      <c r="W10" s="732"/>
      <c r="X10" s="732"/>
      <c r="Y10" s="732"/>
      <c r="Z10" s="732"/>
      <c r="AA10" s="732"/>
      <c r="AB10" s="732"/>
      <c r="AC10" s="732"/>
      <c r="AD10" s="732"/>
      <c r="AE10" s="732"/>
      <c r="AF10" s="732"/>
    </row>
    <row r="11" spans="1:32" ht="12" customHeight="1" x14ac:dyDescent="0.25">
      <c r="A11" s="89" t="s">
        <v>108</v>
      </c>
      <c r="C11" s="90" t="s">
        <v>31</v>
      </c>
      <c r="D11" s="592">
        <f>SUMIFS('Accounting data'!$G$2:$G$37003,'Accounting data'!$H$2:$H$37003,"1000*",'Accounting data'!$I$2:$I$37003,"1*",'Accounting data'!$J$2:$J$37003,"23*",'Accounting data'!$K$2:$K$37003,"61*")+SUMIFS('Accounting data'!$G$2:$G$37003,'Accounting data'!$H$2:$H$37003,"1500*",'Accounting data'!$I$2:$I$37003,"1*",'Accounting data'!$J$2:$J$37003,"23*",'Accounting data'!$K$2:$K$37003,"61*")</f>
        <v>0</v>
      </c>
      <c r="E11" s="592">
        <f>SUMIFS('Accounting data'!$G$2:$G$37003,'Accounting data'!$H$2:$H$37003,"1000*",'Accounting data'!$I$2:$I$37003,"1*",'Accounting data'!$J$2:$J$37003,"23*",'Accounting data'!$K$2:$K$37003,"62*")+SUMIFS('Accounting data'!$G$2:$G$37003,'Accounting data'!$H$2:$H$37003,"1500*",'Accounting data'!$I$2:$I$37003,"1*",'Accounting data'!$J$2:$J$37003,"23*",'Accounting data'!$K$2:$K$37003,"62*")</f>
        <v>0</v>
      </c>
      <c r="F11" s="592">
        <f>SUMIFS('Accounting data'!$G$2:$G$37003,'Accounting data'!$H$2:$H$37003,"1000*",'Accounting data'!$I$2:$I$37003,"1*",'Accounting data'!$J$2:$J$37003,"23*",'Accounting data'!$K$2:$K$37003,"63*")+SUMIFS('Accounting data'!$G$2:$G$37003,'Accounting data'!$H$2:$H$37003,"1500*",'Accounting data'!$I$2:$I$37003,"1*",'Accounting data'!$J$2:$J$37003,"23*",'Accounting data'!$K$2:$K$37003,"63*")</f>
        <v>0</v>
      </c>
      <c r="G11" s="592">
        <f>SUMIFS('Accounting data'!$G$2:$G$37003,'Accounting data'!$H$2:$H$37003,"1000*",'Accounting data'!$I$2:$I$37003,"1*",'Accounting data'!$J$2:$J$37003,"23*",'Accounting data'!$K$2:$K$37003,"66*")+SUMIFS('Accounting data'!$G$2:$G$37003,'Accounting data'!$H$2:$H$37003,"1500*",'Accounting data'!$I$2:$I$37003,"1*",'Accounting data'!$J$2:$J$37003,"23*",'Accounting data'!$K$2:$K$37003,"66*")</f>
        <v>0</v>
      </c>
      <c r="H11" s="592">
        <f>SUMIFS('Accounting data'!$G$2:$G$37003,'Accounting data'!$H$2:$H$37003,"1000*",'Accounting data'!$I$2:$I$37003,"1*",'Accounting data'!$J$2:$J$37003,"23*",'Accounting data'!$K$2:$K$37003,"68*")+SUMIFS('Accounting data'!$G$2:$G$37003,'Accounting data'!$H$2:$H$37003,"1500*",'Accounting data'!$I$2:$I$37003,"1*",'Accounting data'!$J$2:$J$37003,"23*",'Accounting data'!$K$2:$K$37003,"68*")</f>
        <v>0</v>
      </c>
      <c r="I11" s="591">
        <f>[3]!SP1000P100F2300</f>
        <v>0</v>
      </c>
      <c r="J11" s="593">
        <f t="shared" si="0"/>
        <v>0</v>
      </c>
      <c r="K11" s="591">
        <f>[1]!SP1000P100F2300</f>
        <v>0</v>
      </c>
      <c r="L11" s="594">
        <f t="shared" si="1"/>
        <v>0</v>
      </c>
      <c r="M11" s="91" t="s">
        <v>31</v>
      </c>
      <c r="N11" s="4"/>
      <c r="O11" s="4"/>
      <c r="P11" s="4"/>
      <c r="Q11" s="4"/>
      <c r="R11" s="4"/>
      <c r="S11" s="4"/>
      <c r="T11" s="4"/>
      <c r="U11" s="4"/>
    </row>
    <row r="12" spans="1:32" ht="12" customHeight="1" x14ac:dyDescent="0.25">
      <c r="A12" s="89" t="s">
        <v>109</v>
      </c>
      <c r="C12" s="90" t="s">
        <v>33</v>
      </c>
      <c r="D12" s="592">
        <f>SUMIFS('Accounting data'!$G$2:$G$37003,'Accounting data'!$H$2:$H$37003,"1000*",'Accounting data'!$I$2:$I$37003,"1*",'Accounting data'!$J$2:$J$37003,"24*",'Accounting data'!$K$2:$K$37003,"61*")+SUMIFS('Accounting data'!$G$2:$G$37003,'Accounting data'!$H$2:$H$37003,"1500*",'Accounting data'!$I$2:$I$37003,"1*",'Accounting data'!$J$2:$J$37003,"24*",'Accounting data'!$K$2:$K$37003,"61*")</f>
        <v>0</v>
      </c>
      <c r="E12" s="592">
        <f>SUMIFS('Accounting data'!$G$2:$G$37003,'Accounting data'!$H$2:$H$37003,"1000*",'Accounting data'!$I$2:$I$37003,"1*",'Accounting data'!$J$2:$J$37003,"24*",'Accounting data'!$K$2:$K$37003,"62*")+SUMIFS('Accounting data'!$G$2:$G$37003,'Accounting data'!$H$2:$H$37003,"1500*",'Accounting data'!$I$2:$I$37003,"1*",'Accounting data'!$J$2:$J$37003,"24*",'Accounting data'!$K$2:$K$37003,"62*")</f>
        <v>0</v>
      </c>
      <c r="F12" s="592">
        <f>SUMIFS('Accounting data'!$G$2:$G$37003,'Accounting data'!$H$2:$H$37003,"1000*",'Accounting data'!$I$2:$I$37003,"1*",'Accounting data'!$J$2:$J$37003,"24*",'Accounting data'!$K$2:$K$37003,"63*")+SUMIFS('Accounting data'!$G$2:$G$37003,'Accounting data'!$H$2:$H$37003,"1500*",'Accounting data'!$I$2:$I$37003,"1*",'Accounting data'!$J$2:$J$37003,"24*",'Accounting data'!$K$2:$K$37003,"63*")</f>
        <v>3445</v>
      </c>
      <c r="G12" s="592">
        <f>SUMIFS('Accounting data'!$G$2:$G$37003,'Accounting data'!$H$2:$H$37003,"1000*",'Accounting data'!$I$2:$I$37003,"1*",'Accounting data'!$J$2:$J$37003,"24*",'Accounting data'!$K$2:$K$37003,"66*")+SUMIFS('Accounting data'!$G$2:$G$37003,'Accounting data'!$H$2:$H$37003,"1500*",'Accounting data'!$I$2:$I$37003,"1*",'Accounting data'!$J$2:$J$37003,"24*",'Accounting data'!$K$2:$K$37003,"66*")</f>
        <v>51</v>
      </c>
      <c r="H12" s="592">
        <f>SUMIFS('Accounting data'!$G$2:$G$37003,'Accounting data'!$H$2:$H$37003,"1000*",'Accounting data'!$I$2:$I$37003,"1*",'Accounting data'!$J$2:$J$37003,"24*",'Accounting data'!$K$2:$K$37003,"68*")+SUMIFS('Accounting data'!$G$2:$G$37003,'Accounting data'!$H$2:$H$37003,"1500*",'Accounting data'!$I$2:$I$37003,"1*",'Accounting data'!$J$2:$J$37003,"24*",'Accounting data'!$K$2:$K$37003,"68*")</f>
        <v>0</v>
      </c>
      <c r="I12" s="591">
        <f>[3]!SP1000P100F2400</f>
        <v>3199</v>
      </c>
      <c r="J12" s="593">
        <f t="shared" si="0"/>
        <v>3496</v>
      </c>
      <c r="K12" s="591">
        <f>[1]!SP1000P100F2400</f>
        <v>342</v>
      </c>
      <c r="L12" s="594">
        <f t="shared" si="1"/>
        <v>9.2222000000000008</v>
      </c>
      <c r="M12" s="91" t="s">
        <v>33</v>
      </c>
    </row>
    <row r="13" spans="1:32" ht="12" customHeight="1" x14ac:dyDescent="0.25">
      <c r="A13" s="89" t="s">
        <v>110</v>
      </c>
      <c r="C13" s="90" t="s">
        <v>35</v>
      </c>
      <c r="D13" s="592">
        <f>SUMIFS('Accounting data'!$G$2:$G$37003,'Accounting data'!$H$2:$H$37003,"1000*",'Accounting data'!$I$2:$I$37003,"1*",'Accounting data'!$J$2:$J$37003,"25*",'Accounting data'!$K$2:$K$37003,"61*")+SUMIFS('Accounting data'!$G$2:$G$37003,'Accounting data'!$H$2:$H$37003,"1500*",'Accounting data'!$I$2:$I$37003,"1*",'Accounting data'!$J$2:$J$37003,"25*",'Accounting data'!$K$2:$K$37003,"61*")</f>
        <v>0</v>
      </c>
      <c r="E13" s="592">
        <f>SUMIFS('Accounting data'!$G$2:$G$37003,'Accounting data'!$H$2:$H$37003,"1000*",'Accounting data'!$I$2:$I$37003,"1*",'Accounting data'!$J$2:$J$37003,"25*",'Accounting data'!$K$2:$K$37003,"62*")+SUMIFS('Accounting data'!$G$2:$G$37003,'Accounting data'!$H$2:$H$37003,"1500*",'Accounting data'!$I$2:$I$37003,"1*",'Accounting data'!$J$2:$J$37003,"25*",'Accounting data'!$K$2:$K$37003,"62*")</f>
        <v>0</v>
      </c>
      <c r="F13" s="592">
        <f>SUMIFS('Accounting data'!$G$2:$G$37003,'Accounting data'!$H$2:$H$37003,"1000*",'Accounting data'!$I$2:$I$37003,"1*",'Accounting data'!$J$2:$J$37003,"25*",'Accounting data'!$K$2:$K$37003,"63*")+SUMIFS('Accounting data'!$G$2:$G$37003,'Accounting data'!$H$2:$H$37003,"1500*",'Accounting data'!$I$2:$I$37003,"1*",'Accounting data'!$J$2:$J$37003,"25*",'Accounting data'!$K$2:$K$37003,"63*")</f>
        <v>0</v>
      </c>
      <c r="G13" s="592">
        <f>SUMIFS('Accounting data'!$G$2:$G$37003,'Accounting data'!$H$2:$H$37003,"1000*",'Accounting data'!$I$2:$I$37003,"1*",'Accounting data'!$J$2:$J$37003,"25*",'Accounting data'!$K$2:$K$37003,"66*")+SUMIFS('Accounting data'!$G$2:$G$37003,'Accounting data'!$H$2:$H$37003,"1500*",'Accounting data'!$I$2:$I$37003,"1*",'Accounting data'!$J$2:$J$37003,"25*",'Accounting data'!$K$2:$K$37003,"66*")</f>
        <v>0</v>
      </c>
      <c r="H13" s="592">
        <f>SUMIFS('Accounting data'!$G$2:$G$37003,'Accounting data'!$H$2:$H$37003,"1000*",'Accounting data'!$I$2:$I$37003,"1*",'Accounting data'!$J$2:$J$37003,"25*",'Accounting data'!$K$2:$K$37003,"68*")+SUMIFS('Accounting data'!$G$2:$G$37003,'Accounting data'!$H$2:$H$37003,"1500*",'Accounting data'!$I$2:$I$37003,"1*",'Accounting data'!$J$2:$J$37003,"25*",'Accounting data'!$K$2:$K$37003,"68*")</f>
        <v>0</v>
      </c>
      <c r="I13" s="591">
        <f>[3]!SP1000P100F2500</f>
        <v>0</v>
      </c>
      <c r="J13" s="593">
        <f t="shared" si="0"/>
        <v>0</v>
      </c>
      <c r="K13" s="591">
        <f>[1]!SP1000P100F2500</f>
        <v>0</v>
      </c>
      <c r="L13" s="594">
        <f t="shared" si="1"/>
        <v>0</v>
      </c>
      <c r="M13" s="91" t="s">
        <v>35</v>
      </c>
    </row>
    <row r="14" spans="1:32" ht="12" customHeight="1" x14ac:dyDescent="0.25">
      <c r="A14" s="89" t="s">
        <v>111</v>
      </c>
      <c r="C14" s="90" t="s">
        <v>37</v>
      </c>
      <c r="D14" s="592">
        <f>SUMIFS('Accounting data'!$G$2:$G$37003,'Accounting data'!$H$2:$H$37003,"1000*",'Accounting data'!$I$2:$I$37003,"1*",'Accounting data'!$J$2:$J$37003,"26*",'Accounting data'!$K$2:$K$37003,"61*")+SUMIFS('Accounting data'!$G$2:$G$37003,'Accounting data'!$H$2:$H$37003,"1500*",'Accounting data'!$I$2:$I$37003,"1*",'Accounting data'!$J$2:$J$37003,"26*",'Accounting data'!$K$2:$K$37003,"61*")</f>
        <v>0</v>
      </c>
      <c r="E14" s="592">
        <f>SUMIFS('Accounting data'!$G$2:$G$37003,'Accounting data'!$H$2:$H$37003,"1000*",'Accounting data'!$I$2:$I$37003,"1*",'Accounting data'!$J$2:$J$37003,"26*",'Accounting data'!$K$2:$K$37003,"62*")+SUMIFS('Accounting data'!$G$2:$G$37003,'Accounting data'!$H$2:$H$37003,"1500*",'Accounting data'!$I$2:$I$37003,"1*",'Accounting data'!$J$2:$J$37003,"26*",'Accounting data'!$K$2:$K$37003,"62*")</f>
        <v>0</v>
      </c>
      <c r="F14" s="592">
        <f>SUMIFS('Accounting data'!$G$2:$G$37003,'Accounting data'!$H$2:$H$37003,"1000*",'Accounting data'!$I$2:$I$37003,"1*",'Accounting data'!$J$2:$J$37003,"26*",'Accounting data'!$K$2:$K$37003,"63*")+SUMIFS('Accounting data'!$G$2:$G$37003,'Accounting data'!$H$2:$H$37003,"1500*",'Accounting data'!$I$2:$I$37003,"1*",'Accounting data'!$J$2:$J$37003,"26*",'Accounting data'!$K$2:$K$37003,"63*")</f>
        <v>4698</v>
      </c>
      <c r="G14" s="592">
        <f>SUMIFS('Accounting data'!$G$2:$G$37003,'Accounting data'!$H$2:$H$37003,"1000*",'Accounting data'!$I$2:$I$37003,"1*",'Accounting data'!$J$2:$J$37003,"26*",'Accounting data'!$K$2:$K$37003,"66*")+SUMIFS('Accounting data'!$G$2:$G$37003,'Accounting data'!$H$2:$H$37003,"1500*",'Accounting data'!$I$2:$I$37003,"1*",'Accounting data'!$J$2:$J$37003,"26*",'Accounting data'!$K$2:$K$37003,"66*")</f>
        <v>5743</v>
      </c>
      <c r="H14" s="592">
        <f>SUMIFS('Accounting data'!$G$2:$G$37003,'Accounting data'!$H$2:$H$37003,"1000*",'Accounting data'!$I$2:$I$37003,"1*",'Accounting data'!$J$2:$J$37003,"26*",'Accounting data'!$K$2:$K$37003,"68*")+SUMIFS('Accounting data'!$G$2:$G$37003,'Accounting data'!$H$2:$H$37003,"1500*",'Accounting data'!$I$2:$I$37003,"1*",'Accounting data'!$J$2:$J$37003,"26*",'Accounting data'!$K$2:$K$37003,"68*")</f>
        <v>0</v>
      </c>
      <c r="I14" s="591">
        <f>[3]!SP1000P100F2600</f>
        <v>13046</v>
      </c>
      <c r="J14" s="593">
        <f t="shared" si="0"/>
        <v>10441</v>
      </c>
      <c r="K14" s="591">
        <f>[1]!SP1000P100F2600</f>
        <v>11217</v>
      </c>
      <c r="L14" s="594">
        <f t="shared" si="1"/>
        <v>-6.9199999999999998E-2</v>
      </c>
      <c r="M14" s="91" t="s">
        <v>37</v>
      </c>
    </row>
    <row r="15" spans="1:32" ht="12" customHeight="1" x14ac:dyDescent="0.25">
      <c r="A15" s="89" t="s">
        <v>112</v>
      </c>
      <c r="C15" s="90" t="s">
        <v>39</v>
      </c>
      <c r="D15" s="592">
        <f>SUMIFS('Accounting data'!$G$2:$G$37003,'Accounting data'!$H$2:$H$37003,"1000*",'Accounting data'!$I$2:$I$37003,"1*",'Accounting data'!$J$2:$J$37003,"29*",'Accounting data'!$K$2:$K$37003,"61*")+SUMIFS('Accounting data'!$G$2:$G$37003,'Accounting data'!$H$2:$H$37003,"1500*",'Accounting data'!$I$2:$I$37003,"1*",'Accounting data'!$J$2:$J$37003,"29*",'Accounting data'!$K$2:$K$37003,"61*")</f>
        <v>0</v>
      </c>
      <c r="E15" s="592">
        <f>SUMIFS('Accounting data'!$G$2:$G$37003,'Accounting data'!$H$2:$H$37003,"1000*",'Accounting data'!$I$2:$I$37003,"1*",'Accounting data'!$J$2:$J$37003,"29*",'Accounting data'!$K$2:$K$37003,"62*")+SUMIFS('Accounting data'!$G$2:$G$37003,'Accounting data'!$H$2:$H$37003,"1500*",'Accounting data'!$I$2:$I$37003,"1*",'Accounting data'!$J$2:$J$37003,"29*",'Accounting data'!$K$2:$K$37003,"62*")</f>
        <v>0</v>
      </c>
      <c r="F15" s="592">
        <f>SUMIFS('Accounting data'!$G$2:$G$37003,'Accounting data'!$H$2:$H$37003,"1000*",'Accounting data'!$I$2:$I$37003,"1*",'Accounting data'!$J$2:$J$37003,"29*",'Accounting data'!$K$2:$K$37003,"63*")+SUMIFS('Accounting data'!$G$2:$G$37003,'Accounting data'!$H$2:$H$37003,"1500*",'Accounting data'!$I$2:$I$37003,"1*",'Accounting data'!$J$2:$J$37003,"29*",'Accounting data'!$K$2:$K$37003,"63*")</f>
        <v>0</v>
      </c>
      <c r="G15" s="592">
        <f>SUMIFS('Accounting data'!$G$2:$G$37003,'Accounting data'!$H$2:$H$37003,"1000*",'Accounting data'!$I$2:$I$37003,"1*",'Accounting data'!$J$2:$J$37003,"29*",'Accounting data'!$K$2:$K$37003,"66*")+SUMIFS('Accounting data'!$G$2:$G$37003,'Accounting data'!$H$2:$H$37003,"1500*",'Accounting data'!$I$2:$I$37003,"1*",'Accounting data'!$J$2:$J$37003,"29*",'Accounting data'!$K$2:$K$37003,"66*")</f>
        <v>0</v>
      </c>
      <c r="H15" s="592">
        <f>SUMIFS('Accounting data'!$G$2:$G$37003,'Accounting data'!$H$2:$H$37003,"1000*",'Accounting data'!$I$2:$I$37003,"1*",'Accounting data'!$J$2:$J$37003,"29*",'Accounting data'!$K$2:$K$37003,"68*")+SUMIFS('Accounting data'!$G$2:$G$37003,'Accounting data'!$H$2:$H$37003,"1500*",'Accounting data'!$I$2:$I$37003,"1*",'Accounting data'!$J$2:$J$37003,"29*",'Accounting data'!$K$2:$K$37003,"68*")</f>
        <v>0</v>
      </c>
      <c r="I15" s="591">
        <f>[3]!SP1000P100F2900</f>
        <v>0</v>
      </c>
      <c r="J15" s="593">
        <f t="shared" si="0"/>
        <v>0</v>
      </c>
      <c r="K15" s="591">
        <f>[1]!SP1000P100F2900</f>
        <v>0</v>
      </c>
      <c r="L15" s="594">
        <f t="shared" si="1"/>
        <v>0</v>
      </c>
      <c r="M15" s="91" t="s">
        <v>39</v>
      </c>
    </row>
    <row r="16" spans="1:32" ht="12" customHeight="1" x14ac:dyDescent="0.25">
      <c r="A16" s="89" t="s">
        <v>113</v>
      </c>
      <c r="C16" s="90" t="s">
        <v>41</v>
      </c>
      <c r="D16" s="592">
        <f>SUMIFS('Accounting data'!$G$2:$G$37003,'Accounting data'!$H$2:$H$37003,"1000*",'Accounting data'!$I$2:$I$37003,"1*",'Accounting data'!$J$2:$J$37003,"3*",'Accounting data'!$K$2:$K$37003,"61*")+SUMIFS('Accounting data'!$G$2:$G$37003,'Accounting data'!$H$2:$H$37003,"1500*",'Accounting data'!$I$2:$I$37003,"1*",'Accounting data'!$J$2:$J$37003,"3*",'Accounting data'!$K$2:$K$37003,"61*")</f>
        <v>0</v>
      </c>
      <c r="E16" s="592">
        <f>SUMIFS('Accounting data'!$G$2:$G$37003,'Accounting data'!$H$2:$H$37003,"1000*",'Accounting data'!$I$2:$I$37003,"1*",'Accounting data'!$J$2:$J$37003,"3*",'Accounting data'!$K$2:$K$37003,"62*")+SUMIFS('Accounting data'!$G$2:$G$37003,'Accounting data'!$H$2:$H$37003,"1500*",'Accounting data'!$I$2:$I$37003,"1*",'Accounting data'!$J$2:$J$37003,"3*",'Accounting data'!$K$2:$K$37003,"62*")</f>
        <v>0</v>
      </c>
      <c r="F16" s="592">
        <f>SUMIFS('Accounting data'!$G$2:$G$37003,'Accounting data'!$H$2:$H$37003,"1000*",'Accounting data'!$I$2:$I$37003,"1*",'Accounting data'!$J$2:$J$37003,"3*",'Accounting data'!$K$2:$K$37003,"63*")+SUMIFS('Accounting data'!$G$2:$G$37003,'Accounting data'!$H$2:$H$37003,"1500*",'Accounting data'!$I$2:$I$37003,"1*",'Accounting data'!$J$2:$J$37003,"3*",'Accounting data'!$K$2:$K$37003,"63*")</f>
        <v>0</v>
      </c>
      <c r="G16" s="592">
        <f>SUMIFS('Accounting data'!$G$2:$G$37003,'Accounting data'!$H$2:$H$37003,"1000*",'Accounting data'!$I$2:$I$37003,"1*",'Accounting data'!$J$2:$J$37003,"3*",'Accounting data'!$K$2:$K$37003,"66*")+SUMIFS('Accounting data'!$G$2:$G$37003,'Accounting data'!$H$2:$H$37003,"1500*",'Accounting data'!$I$2:$I$37003,"1*",'Accounting data'!$J$2:$J$37003,"3*",'Accounting data'!$K$2:$K$37003,"66*")</f>
        <v>0</v>
      </c>
      <c r="H16" s="592">
        <f>SUMIFS('Accounting data'!$G$2:$G$37003,'Accounting data'!$H$2:$H$37003,"1000*",'Accounting data'!$I$2:$I$37003,"1*",'Accounting data'!$J$2:$J$37003,"3*",'Accounting data'!$K$2:$K$37003,"68*")+SUMIFS('Accounting data'!$G$2:$G$37003,'Accounting data'!$H$2:$H$37003,"1500*",'Accounting data'!$I$2:$I$37003,"1*",'Accounting data'!$J$2:$J$37003,"3*",'Accounting data'!$K$2:$K$37003,"68*")</f>
        <v>0</v>
      </c>
      <c r="I16" s="591">
        <f>[3]!SP1000P100F3000</f>
        <v>0</v>
      </c>
      <c r="J16" s="593">
        <f t="shared" si="0"/>
        <v>0</v>
      </c>
      <c r="K16" s="591">
        <f>[1]!SP1000P100F3000</f>
        <v>0</v>
      </c>
      <c r="L16" s="594">
        <f t="shared" si="1"/>
        <v>0</v>
      </c>
      <c r="M16" s="91" t="s">
        <v>41</v>
      </c>
    </row>
    <row r="17" spans="1:25" ht="12" customHeight="1" x14ac:dyDescent="0.25">
      <c r="A17" s="89" t="s">
        <v>114</v>
      </c>
      <c r="C17" s="90" t="s">
        <v>43</v>
      </c>
      <c r="D17" s="592">
        <f>SUMIFS('Accounting data'!$G$2:$G$37003,'Accounting data'!$H$2:$H$37003,"1000*",'Accounting data'!$I$2:$I$37003,"1*",'Accounting data'!$J$2:$J$37003,"4*",'Accounting data'!$K$2:$K$37003,"61*")+SUMIFS('Accounting data'!$G$2:$G$37003,'Accounting data'!$H$2:$H$37003,"1500*",'Accounting data'!$I$2:$I$37003,"1*",'Accounting data'!$J$2:$J$37003,"4*",'Accounting data'!$K$2:$K$37003,"61*")</f>
        <v>0</v>
      </c>
      <c r="E17" s="592">
        <f>SUMIFS('Accounting data'!$G$2:$G$37003,'Accounting data'!$H$2:$H$37003,"1000*",'Accounting data'!$I$2:$I$37003,"1*",'Accounting data'!$J$2:$J$37003,"4*",'Accounting data'!$K$2:$K$37003,"62*")+SUMIFS('Accounting data'!$G$2:$G$37003,'Accounting data'!$H$2:$H$37003,"1500*",'Accounting data'!$I$2:$I$37003,"1*",'Accounting data'!$J$2:$J$37003,"4*",'Accounting data'!$K$2:$K$37003,"62*")</f>
        <v>0</v>
      </c>
      <c r="F17" s="592">
        <f>SUMIFS('Accounting data'!$G$2:$G$37003,'Accounting data'!$H$2:$H$37003,"1000*",'Accounting data'!$I$2:$I$37003,"1*",'Accounting data'!$J$2:$J$37003,"4*",'Accounting data'!$K$2:$K$37003,"63*")+SUMIFS('Accounting data'!$G$2:$G$37003,'Accounting data'!$H$2:$H$37003,"1500*",'Accounting data'!$I$2:$I$37003,"1*",'Accounting data'!$J$2:$J$37003,"4*",'Accounting data'!$K$2:$K$37003,"63*")</f>
        <v>0</v>
      </c>
      <c r="G17" s="592">
        <f>SUMIFS('Accounting data'!$G$2:$G$37003,'Accounting data'!$H$2:$H$37003,"1000*",'Accounting data'!$I$2:$I$37003,"1*",'Accounting data'!$J$2:$J$37003,"4*",'Accounting data'!$K$2:$K$37003,"66*")+SUMIFS('Accounting data'!$G$2:$G$37003,'Accounting data'!$H$2:$H$37003,"1500*",'Accounting data'!$I$2:$I$37003,"1*",'Accounting data'!$J$2:$J$37003,"4*",'Accounting data'!$K$2:$K$37003,"66*")</f>
        <v>0</v>
      </c>
      <c r="H17" s="592">
        <f>SUMIFS('Accounting data'!$G$2:$G$37003,'Accounting data'!$H$2:$H$37003,"1000*",'Accounting data'!$I$2:$I$37003,"1*",'Accounting data'!$J$2:$J$37003,"4*",'Accounting data'!$K$2:$K$37003,"68*")+SUMIFS('Accounting data'!$G$2:$G$37003,'Accounting data'!$H$2:$H$37003,"1500*",'Accounting data'!$I$2:$I$37003,"1*",'Accounting data'!$J$2:$J$37003,"4*",'Accounting data'!$K$2:$K$37003,"68*")</f>
        <v>0</v>
      </c>
      <c r="I17" s="591">
        <f>[3]!SP1000P100F4000</f>
        <v>0</v>
      </c>
      <c r="J17" s="593">
        <f t="shared" si="0"/>
        <v>0</v>
      </c>
      <c r="K17" s="591">
        <f>[1]!SP1000P100F4000</f>
        <v>0</v>
      </c>
      <c r="L17" s="594">
        <f t="shared" si="1"/>
        <v>0</v>
      </c>
      <c r="M17" s="91" t="s">
        <v>43</v>
      </c>
    </row>
    <row r="18" spans="1:25" ht="12" customHeight="1" x14ac:dyDescent="0.25">
      <c r="A18" s="89" t="s">
        <v>115</v>
      </c>
      <c r="C18" s="90" t="s">
        <v>45</v>
      </c>
      <c r="D18" s="592">
        <f>SUMIFS('Accounting data'!$G$2:$G$37003,'Accounting data'!$H$2:$H$37003,"1000*",'Accounting data'!$I$2:$I$37003,"1*",'Accounting data'!$J$2:$J$37003,"5*",'Accounting data'!$K$2:$K$37003,"61*")+SUMIFS('Accounting data'!$G$2:$G$37003,'Accounting data'!$H$2:$H$37003,"1500*",'Accounting data'!$I$2:$I$37003,"1*",'Accounting data'!$J$2:$J$37003,"5*",'Accounting data'!$K$2:$K$37003,"61*")</f>
        <v>0</v>
      </c>
      <c r="E18" s="592">
        <f>SUMIFS('Accounting data'!$G$2:$G$37003,'Accounting data'!$H$2:$H$37003,"1000*",'Accounting data'!$I$2:$I$37003,"1*",'Accounting data'!$J$2:$J$37003,"5*",'Accounting data'!$K$2:$K$37003,"62*")+SUMIFS('Accounting data'!$G$2:$G$37003,'Accounting data'!$H$2:$H$37003,"1500*",'Accounting data'!$I$2:$I$37003,"1*",'Accounting data'!$J$2:$J$37003,"5*",'Accounting data'!$K$2:$K$37003,"62*")</f>
        <v>0</v>
      </c>
      <c r="F18" s="592">
        <f>SUMIFS('Accounting data'!$G$2:$G$37003,'Accounting data'!$H$2:$H$37003,"1000*",'Accounting data'!$I$2:$I$37003,"1*",'Accounting data'!$J$2:$J$37003,"5*",'Accounting data'!$K$2:$K$37003,"63*")+SUMIFS('Accounting data'!$G$2:$G$37003,'Accounting data'!$H$2:$H$37003,"1500*",'Accounting data'!$I$2:$I$37003,"1*",'Accounting data'!$J$2:$J$37003,"5*",'Accounting data'!$K$2:$K$37003,"63*")</f>
        <v>0</v>
      </c>
      <c r="G18" s="592">
        <f>SUMIFS('Accounting data'!$G$2:$G$37003,'Accounting data'!$H$2:$H$37003,"1000*",'Accounting data'!$I$2:$I$37003,"1*",'Accounting data'!$J$2:$J$37003,"5*",'Accounting data'!$K$2:$K$37003,"66*")+SUMIFS('Accounting data'!$G$2:$G$37003,'Accounting data'!$H$2:$H$37003,"1500*",'Accounting data'!$I$2:$I$37003,"1*",'Accounting data'!$J$2:$J$37003,"5*",'Accounting data'!$K$2:$K$37003,"66*")</f>
        <v>0</v>
      </c>
      <c r="H18" s="592">
        <f>SUMIFS('Accounting data'!$G$2:$G$37003,'Accounting data'!$H$2:$H$37003,"1000*",'Accounting data'!$I$2:$I$37003,"1*",'Accounting data'!$J$2:$J$37003,"5*",'Accounting data'!$K$2:$K$37003,"68*")+SUMIFS('Accounting data'!$G$2:$G$37003,'Accounting data'!$H$2:$H$37003,"1500*",'Accounting data'!$I$2:$I$37003,"1*",'Accounting data'!$J$2:$J$37003,"5*",'Accounting data'!$K$2:$K$37003,"68*")</f>
        <v>0</v>
      </c>
      <c r="I18" s="591">
        <f>[3]!SP1000P100F5000</f>
        <v>0</v>
      </c>
      <c r="J18" s="593">
        <f t="shared" si="0"/>
        <v>0</v>
      </c>
      <c r="K18" s="591">
        <f>[1]!SP1000P100F5000</f>
        <v>0</v>
      </c>
      <c r="L18" s="594">
        <f t="shared" si="1"/>
        <v>0</v>
      </c>
      <c r="M18" s="91" t="s">
        <v>45</v>
      </c>
    </row>
    <row r="19" spans="1:25" ht="12" customHeight="1" x14ac:dyDescent="0.25">
      <c r="A19" s="89" t="s">
        <v>116</v>
      </c>
      <c r="C19" s="90" t="s">
        <v>47</v>
      </c>
      <c r="D19" s="592">
        <f>SUMIFS('Accounting data'!$G$2:$G$37003,'Accounting data'!$H$2:$H$37003,"1000*",'Accounting data'!$I$2:$I$37003,"61*",'Accounting data'!$K$2:$K$37003,"61*")+SUMIFS('Accounting data'!$G$2:$G$37003,'Accounting data'!$H$2:$H$37003,"1500*",'Accounting data'!$I$2:$I$37003,"61*",'Accounting data'!$K$2:$K$37003,"61*")</f>
        <v>0</v>
      </c>
      <c r="E19" s="592">
        <f>SUMIFS('Accounting data'!$G$2:$G$37003,'Accounting data'!$H$2:$H$37003,"1000*",'Accounting data'!$I$2:$I$37003,"61*",'Accounting data'!$K$2:$K$37003,"62*")+SUMIFS('Accounting data'!$G$2:$G$37003,'Accounting data'!$H$2:$H$37003,"1500*",'Accounting data'!$I$2:$I$37003,"61*",'Accounting data'!$K$2:$K$37003,"62*")</f>
        <v>0</v>
      </c>
      <c r="F19" s="592">
        <f>SUMIFS('Accounting data'!$G$2:$G$37003,'Accounting data'!$H$2:$H$37003,"1000*",'Accounting data'!$I$2:$I$37003,"61*",'Accounting data'!$K$2:$K$37003,"63*")+SUMIFS('Accounting data'!$G$2:$G$37003,'Accounting data'!$H$2:$H$37003,"1500*",'Accounting data'!$I$2:$I$37003,"61*",'Accounting data'!$K$2:$K$37003,"63*")</f>
        <v>0</v>
      </c>
      <c r="G19" s="592">
        <f>SUMIFS('Accounting data'!$G$2:$G$37003,'Accounting data'!$H$2:$H$37003,"1000*",'Accounting data'!$I$2:$I$37003,"61*",'Accounting data'!$K$2:$K$37003,"66*")+SUMIFS('Accounting data'!$G$2:$G$37003,'Accounting data'!$H$2:$H$37003,"1500*",'Accounting data'!$I$2:$I$37003,"61*",'Accounting data'!$K$2:$K$37003,"66*")</f>
        <v>0</v>
      </c>
      <c r="H19" s="592">
        <f>SUMIFS('Accounting data'!$G$2:$G$37003,'Accounting data'!$H$2:$H$37003,"1000*",'Accounting data'!$I$2:$I$37003,"61*",'Accounting data'!$K$2:$K$37003,"68*")+SUMIFS('Accounting data'!$G$2:$G$37003,'Accounting data'!$H$2:$H$37003,"1500*",'Accounting data'!$I$2:$I$37003,"61*",'Accounting data'!$K$2:$K$37003,"68*")</f>
        <v>0</v>
      </c>
      <c r="I19" s="591">
        <f>[3]!SP1000P610</f>
        <v>0</v>
      </c>
      <c r="J19" s="593">
        <f t="shared" si="0"/>
        <v>0</v>
      </c>
      <c r="K19" s="591">
        <f>[1]!SP1000P610</f>
        <v>0</v>
      </c>
      <c r="L19" s="594">
        <f t="shared" si="1"/>
        <v>0</v>
      </c>
      <c r="M19" s="91" t="s">
        <v>47</v>
      </c>
    </row>
    <row r="20" spans="1:25" ht="12" customHeight="1" x14ac:dyDescent="0.25">
      <c r="A20" s="89" t="s">
        <v>117</v>
      </c>
      <c r="C20" s="90" t="s">
        <v>49</v>
      </c>
      <c r="D20" s="592">
        <f>SUMIFS('Accounting data'!$G$2:$G$37003,'Accounting data'!$H$2:$H$37003,"1000*",'Accounting data'!$I$2:$I$37003,"62*",'Accounting data'!$K$2:$K$37003,"61*")+SUMIFS('Accounting data'!$G$2:$G$37003,'Accounting data'!$H$2:$H$37003,"1500*",'Accounting data'!$I$2:$I$37003,"62*",'Accounting data'!$K$2:$K$37003,"61*")</f>
        <v>0</v>
      </c>
      <c r="E20" s="592">
        <f>SUMIFS('Accounting data'!$G$2:$G$37003,'Accounting data'!$H$2:$H$37003,"1000*",'Accounting data'!$I$2:$I$37003,"62*",'Accounting data'!$K$2:$K$37003,"62*")+SUMIFS('Accounting data'!$G$2:$G$37003,'Accounting data'!$H$2:$H$37003,"1500*",'Accounting data'!$I$2:$I$37003,"62*",'Accounting data'!$K$2:$K$37003,"62*")</f>
        <v>0</v>
      </c>
      <c r="F20" s="592">
        <f>SUMIFS('Accounting data'!$G$2:$G$37003,'Accounting data'!$H$2:$H$37003,"1000*",'Accounting data'!$I$2:$I$37003,"62*",'Accounting data'!$K$2:$K$37003,"63*")+SUMIFS('Accounting data'!$G$2:$G$37003,'Accounting data'!$H$2:$H$37003,"1500*",'Accounting data'!$I$2:$I$37003,"62*",'Accounting data'!$K$2:$K$37003,"63*")</f>
        <v>0</v>
      </c>
      <c r="G20" s="592">
        <f>SUMIFS('Accounting data'!$G$2:$G$37003,'Accounting data'!$H$2:$H$37003,"1000*",'Accounting data'!$I$2:$I$37003,"62*",'Accounting data'!$K$2:$K$37003,"66*")+SUMIFS('Accounting data'!$G$2:$G$37003,'Accounting data'!$H$2:$H$37003,"1500*",'Accounting data'!$I$2:$I$37003,"62*",'Accounting data'!$K$2:$K$37003,"66*")</f>
        <v>0</v>
      </c>
      <c r="H20" s="592">
        <f>SUMIFS('Accounting data'!$G$2:$G$37003,'Accounting data'!$H$2:$H$37003,"1000*",'Accounting data'!$I$2:$I$37003,"62*",'Accounting data'!$K$2:$K$37003,"68*")+SUMIFS('Accounting data'!$G$2:$G$37003,'Accounting data'!$H$2:$H$37003,"1500*",'Accounting data'!$I$2:$I$37003,"62*",'Accounting data'!$K$2:$K$37003,"68*")</f>
        <v>0</v>
      </c>
      <c r="I20" s="591">
        <f>[3]!SP1000P620</f>
        <v>0</v>
      </c>
      <c r="J20" s="593">
        <f t="shared" si="0"/>
        <v>0</v>
      </c>
      <c r="K20" s="591">
        <f>[1]!SP1000P620</f>
        <v>0</v>
      </c>
      <c r="L20" s="594">
        <f t="shared" si="1"/>
        <v>0</v>
      </c>
      <c r="M20" s="91" t="s">
        <v>49</v>
      </c>
    </row>
    <row r="21" spans="1:25" ht="12" customHeight="1" x14ac:dyDescent="0.25">
      <c r="A21" s="89" t="s">
        <v>118</v>
      </c>
      <c r="C21" s="90" t="s">
        <v>51</v>
      </c>
      <c r="D21" s="592">
        <f>SUMIFS('Accounting data'!$G$2:$G$37003,'Accounting data'!$H$2:$H$37003,"1000*",'Accounting data'!$I$2:$I$37003,"63*",'Accounting data'!$K$2:$K$37003,"61*")+SUMIFS('Accounting data'!$G$2:$G$37003,'Accounting data'!$H$2:$H$37003,"1500*",'Accounting data'!$I$2:$I$37003,"63*",'Accounting data'!$K$2:$K$37003,"61*")</f>
        <v>0</v>
      </c>
      <c r="E21" s="592">
        <f>SUMIFS('Accounting data'!$G$2:$G$37003,'Accounting data'!$H$2:$H$37003,"1000*",'Accounting data'!$I$2:$I$37003,"63*",'Accounting data'!$K$2:$K$37003,"62*")+SUMIFS('Accounting data'!$G$2:$G$37003,'Accounting data'!$H$2:$H$37003,"1500*",'Accounting data'!$I$2:$I$37003,"63*",'Accounting data'!$K$2:$K$37003,"62*")</f>
        <v>0</v>
      </c>
      <c r="F21" s="592">
        <f>SUMIFS('Accounting data'!$G$2:$G$37003,'Accounting data'!$H$2:$H$37003,"1000*",'Accounting data'!$I$2:$I$37003,"63*",'Accounting data'!$K$2:$K$37003,"63*")+SUMIFS('Accounting data'!$G$2:$G$37003,'Accounting data'!$H$2:$H$37003,"1500*",'Accounting data'!$I$2:$I$37003,"63*",'Accounting data'!$K$2:$K$37003,"63*")</f>
        <v>0</v>
      </c>
      <c r="G21" s="592">
        <f>SUMIFS('Accounting data'!$G$2:$G$37003,'Accounting data'!$H$2:$H$37003,"1000*",'Accounting data'!$I$2:$I$37003,"63*",'Accounting data'!$K$2:$K$37003,"66*")+SUMIFS('Accounting data'!$G$2:$G$37003,'Accounting data'!$H$2:$H$37003,"1500*",'Accounting data'!$I$2:$I$37003,"63*",'Accounting data'!$K$2:$K$37003,"66*")</f>
        <v>0</v>
      </c>
      <c r="H21" s="662">
        <f>SUMIFS('Accounting data'!$G$2:$G$37003,'Accounting data'!$H$2:$H$37003,"1000*",'Accounting data'!$I$2:$I$37003,"63*",'Accounting data'!$K$2:$K$37003,"68*")+SUMIFS('Accounting data'!$G$2:$G$37003,'Accounting data'!$H$2:$H$37003,"1500*",'Accounting data'!$I$2:$I$37003,"63*",'Accounting data'!$K$2:$K$37003,"68*")</f>
        <v>0</v>
      </c>
      <c r="I21" s="730">
        <f>[3]!SP1000P630700800900</f>
        <v>0</v>
      </c>
      <c r="J21" s="663">
        <f t="shared" si="0"/>
        <v>0</v>
      </c>
      <c r="K21" s="591">
        <f>'[1]Page 2'!$J$21</f>
        <v>0</v>
      </c>
      <c r="L21" s="735">
        <f>IF(J21+J22=K22,0,IF(K22&gt;0,(J21+J22-K22)/K22,"--"))</f>
        <v>0</v>
      </c>
      <c r="M21" s="66" t="s">
        <v>51</v>
      </c>
    </row>
    <row r="22" spans="1:25" ht="12" customHeight="1" x14ac:dyDescent="0.25">
      <c r="A22" s="89" t="s">
        <v>119</v>
      </c>
      <c r="C22" s="90" t="s">
        <v>53</v>
      </c>
      <c r="D22" s="592">
        <f>SUMIFS('Accounting data'!$G$2:$G$37003,'Accounting data'!$H$2:$H$37003,"1000*",'Accounting data'!$I$2:$I$37003,"7*",'Accounting data'!$K$2:$K$37003,"61*")+SUMIFS('Accounting data'!$G$2:$G$37003,'Accounting data'!$H$2:$H$37003,"1000*",'Accounting data'!$I$2:$I$37003,"8*",'Accounting data'!$K$2:$K$37003,"61*")+SUMIFS('Accounting data'!$G$2:$G$37003,'Accounting data'!$H$2:$H$37003,"1000*",'Accounting data'!$I$2:$I$37003,"9*",'Accounting data'!$K$2:$K$37003,"61*")+SUMIFS('Accounting data'!$G$2:$G$37003,'Accounting data'!$H$2:$H$37003,"1500*",'Accounting data'!$I$2:$I$37003,"7*",'Accounting data'!$K$2:$K$37003,"61*")+SUMIFS('Accounting data'!$G$2:$G$37003,'Accounting data'!$H$2:$H$37003,"1500*",'Accounting data'!$I$2:$I$37003,"8*",'Accounting data'!$K$2:$K$37003,"61*")+SUMIFS('Accounting data'!$G$2:$G$37003,'Accounting data'!$H$2:$H$37003,"1500*",'Accounting data'!$I$2:$I$37003,"9*",'Accounting data'!$K$2:$K$37003,"61*")</f>
        <v>0</v>
      </c>
      <c r="E22" s="592">
        <f>SUMIFS('Accounting data'!$G$2:$G$37003,'Accounting data'!$H$2:$H$37003,"1000*",'Accounting data'!$I$2:$I$37003,"7*",'Accounting data'!$K$2:$K$37003,"62*")+SUMIFS('Accounting data'!$G$2:$G$37003,'Accounting data'!$H$2:$H$37003,"1000*",'Accounting data'!$I$2:$I$37003,"8*",'Accounting data'!$K$2:$K$37003,"62*")+SUMIFS('Accounting data'!$G$2:$G$37003,'Accounting data'!$H$2:$H$37003,"1000*",'Accounting data'!$I$2:$I$37003,"9*",'Accounting data'!$K$2:$K$37003,"62*")+SUMIFS('Accounting data'!$G$2:$G$37003,'Accounting data'!$H$2:$H$37003,"1500*",'Accounting data'!$I$2:$I$37003,"7*",'Accounting data'!$K$2:$K$37003,"62*")+SUMIFS('Accounting data'!$G$2:$G$37003,'Accounting data'!$H$2:$H$37003,"1500*",'Accounting data'!$I$2:$I$37003,"8*",'Accounting data'!$K$2:$K$37003,"62*")+SUMIFS('Accounting data'!$G$2:$G$37003,'Accounting data'!$H$2:$H$37003,"1500*",'Accounting data'!$I$2:$I$37003,"9*",'Accounting data'!$K$2:$K$37003,"62*")</f>
        <v>0</v>
      </c>
      <c r="F22" s="592">
        <f>SUMIFS('Accounting data'!$G$2:$G$37003,'Accounting data'!$H$2:$H$37003,"1000*",'Accounting data'!$I$2:$I$37003,"7*",'Accounting data'!$K$2:$K$37003,"63*")+SUMIFS('Accounting data'!$G$2:$G$37003,'Accounting data'!$H$2:$H$37003,"1000*",'Accounting data'!$I$2:$I$37003,"8*",'Accounting data'!$K$2:$K$37003,"63*")+SUMIFS('Accounting data'!$G$2:$G$37003,'Accounting data'!$H$2:$H$37003,"1000*",'Accounting data'!$I$2:$I$37003,"9*",'Accounting data'!$K$2:$K$37003,"63*")+SUMIFS('Accounting data'!$G$2:$G$37003,'Accounting data'!$H$2:$H$37003,"1500*",'Accounting data'!$I$2:$I$37003,"7*",'Accounting data'!$K$2:$K$37003,"63*")+SUMIFS('Accounting data'!$G$2:$G$37003,'Accounting data'!$H$2:$H$37003,"1500*",'Accounting data'!$I$2:$I$37003,"8*",'Accounting data'!$K$2:$K$37003,"63*")+SUMIFS('Accounting data'!$G$2:$G$37003,'Accounting data'!$H$2:$H$37003,"1500*",'Accounting data'!$I$2:$I$37003,"9*",'Accounting data'!$K$2:$K$37003,"63*")</f>
        <v>0</v>
      </c>
      <c r="G22" s="592">
        <f>SUMIFS('Accounting data'!$G$2:$G$37003,'Accounting data'!$H$2:$H$37003,"1000*",'Accounting data'!$I$2:$I$37003,"7*",'Accounting data'!$K$2:$K$37003,"66*")+SUMIFS('Accounting data'!$G$2:$G$37003,'Accounting data'!$H$2:$H$37003,"1000*",'Accounting data'!$I$2:$I$37003,"8*",'Accounting data'!$K$2:$K$37003,"66*")+SUMIFS('Accounting data'!$G$2:$G$37003,'Accounting data'!$H$2:$H$37003,"1000*",'Accounting data'!$I$2:$I$37003,"9*",'Accounting data'!$K$2:$K$37003,"66*")+SUMIFS('Accounting data'!$G$2:$G$37003,'Accounting data'!$H$2:$H$37003,"1500*",'Accounting data'!$I$2:$I$37003,"7*",'Accounting data'!$K$2:$K$37003,"66*")+SUMIFS('Accounting data'!$G$2:$G$37003,'Accounting data'!$H$2:$H$37003,"1500*",'Accounting data'!$I$2:$I$37003,"8*",'Accounting data'!$K$2:$K$37003,"66*")+SUMIFS('Accounting data'!$G$2:$G$37003,'Accounting data'!$H$2:$H$37003,"1500*",'Accounting data'!$I$2:$I$37003,"9*",'Accounting data'!$K$2:$K$37003,"66*")</f>
        <v>0</v>
      </c>
      <c r="H22" s="592">
        <f>SUMIFS('Accounting data'!$G$2:$G$37003,'Accounting data'!$H$2:$H$37003,"1000*",'Accounting data'!$I$2:$I$37003,"7*",'Accounting data'!$K$2:$K$37003,"68*")+SUMIFS('Accounting data'!$G$2:$G$37003,'Accounting data'!$H$2:$H$37003,"1000*",'Accounting data'!$I$2:$I$37003,"8*",'Accounting data'!$K$2:$K$37003,"68*")+SUMIFS('Accounting data'!$G$2:$G$37003,'Accounting data'!$H$2:$H$37003,"1000*",'Accounting data'!$I$2:$I$37003,"9*",'Accounting data'!$K$2:$K$37003,"68*")+SUMIFS('Accounting data'!$G$2:$G$37003,'Accounting data'!$H$2:$H$37003,"1500*",'Accounting data'!$I$2:$I$37003,"7*",'Accounting data'!$K$2:$K$37003,"68*")+SUMIFS('Accounting data'!$G$2:$G$37003,'Accounting data'!$H$2:$H$37003,"1500*",'Accounting data'!$I$2:$I$37003,"8*",'Accounting data'!$K$2:$K$37003,"68*")+SUMIFS('Accounting data'!$G$2:$G$37003,'Accounting data'!$H$2:$H$37003,"1500*",'Accounting data'!$I$2:$I$37003,"9*",'Accounting data'!$K$2:$K$37003,"68*")</f>
        <v>0</v>
      </c>
      <c r="I22" s="731"/>
      <c r="J22" s="593">
        <f t="shared" si="0"/>
        <v>0</v>
      </c>
      <c r="K22" s="591">
        <f>[1]!SP1000P630700800900</f>
        <v>0</v>
      </c>
      <c r="L22" s="737"/>
      <c r="M22" s="66" t="s">
        <v>53</v>
      </c>
    </row>
    <row r="23" spans="1:25" ht="12" customHeight="1" x14ac:dyDescent="0.25">
      <c r="A23" s="93" t="s">
        <v>120</v>
      </c>
      <c r="B23" s="2"/>
      <c r="C23" s="94" t="s">
        <v>55</v>
      </c>
      <c r="D23" s="592">
        <f t="shared" ref="D23:H23" si="2">SUM(D6:D22)</f>
        <v>200</v>
      </c>
      <c r="E23" s="592">
        <f t="shared" si="2"/>
        <v>7198</v>
      </c>
      <c r="F23" s="592">
        <f t="shared" si="2"/>
        <v>8143</v>
      </c>
      <c r="G23" s="592">
        <f t="shared" si="2"/>
        <v>5848</v>
      </c>
      <c r="H23" s="592">
        <f t="shared" si="2"/>
        <v>1200</v>
      </c>
      <c r="I23" s="593">
        <f>SUM(I7:I22)</f>
        <v>65723</v>
      </c>
      <c r="J23" s="593">
        <f>SUM(J7:J22)</f>
        <v>22589</v>
      </c>
      <c r="K23" s="593">
        <f>SUM(K7:K22)</f>
        <v>12060</v>
      </c>
      <c r="L23" s="594">
        <f>IF(J23=K23,0,IF(K23&gt;0,(J23-K23)/K23,"--"))</f>
        <v>0.87309999999999999</v>
      </c>
      <c r="M23" s="66" t="s">
        <v>55</v>
      </c>
    </row>
    <row r="24" spans="1:25" ht="12" customHeight="1" x14ac:dyDescent="0.25">
      <c r="A24" s="95" t="s">
        <v>121</v>
      </c>
      <c r="C24" s="78"/>
      <c r="D24" s="88"/>
      <c r="E24" s="88"/>
      <c r="F24" s="88"/>
      <c r="G24" s="88"/>
      <c r="H24" s="88"/>
      <c r="I24" s="88"/>
      <c r="J24" s="88"/>
      <c r="K24" s="88"/>
      <c r="L24" s="735">
        <f>IF(J25=K25,0,IF(K25&gt;0,(J25-K25)/K25,"--"))</f>
        <v>0</v>
      </c>
      <c r="M24" s="612"/>
    </row>
    <row r="25" spans="1:25" ht="12" customHeight="1" x14ac:dyDescent="0.25">
      <c r="A25" s="89" t="s">
        <v>122</v>
      </c>
      <c r="C25" s="90" t="s">
        <v>57</v>
      </c>
      <c r="D25" s="596">
        <f>SUMIFS('Accounting data'!$G$2:$G$37003,'Accounting data'!$H$2:$H$37003,"1000*",'Accounting data'!$I$2:$I$37003,"200*",'Accounting data'!$J$2:$J$37003,"1*",'Accounting data'!$K$2:$K$37003,"61*")+SUMIFS('Accounting data'!$G$2:$G$37003,'Accounting data'!$H$2:$H$37003,"1500*",'Accounting data'!$I$2:$I$37003,"200*",'Accounting data'!$J$2:$J$37003,"1*",'Accounting data'!$K$2:$K$37003,"61*")+SUMIFS('Accounting data'!$G$2:$G$37003,'Accounting data'!$H$2:$H$37003,"1000*",'Accounting data'!$I$2:$I$37003,"270*",'Accounting data'!$J$2:$J$37003,"1*",'Accounting data'!$K$2:$K$37003,"61*")+SUMIFS('Accounting data'!$G$2:$G$37003,'Accounting data'!$H$2:$H$37003,"1500*",'Accounting data'!$I$2:$I$37003,"270*",'Accounting data'!$J$2:$J$37003,"1*",'Accounting data'!$K$2:$K$37003,"61*")</f>
        <v>0</v>
      </c>
      <c r="E25" s="596">
        <f>SUMIFS('Accounting data'!$G$2:$G$37003,'Accounting data'!$H$2:$H$37003,"1000*",'Accounting data'!$I$2:$I$37003,"200*",'Accounting data'!$J$2:$J$37003,"1*",'Accounting data'!$K$2:$K$37003,"62*")+SUMIFS('Accounting data'!$G$2:$G$37003,'Accounting data'!$H$2:$H$37003,"1500*",'Accounting data'!$I$2:$I$37003,"200*",'Accounting data'!$J$2:$J$37003,"1*",'Accounting data'!$K$2:$K$37003,"62*")+SUMIFS('Accounting data'!$G$2:$G$37003,'Accounting data'!$H$2:$H$37003,"1000*",'Accounting data'!$I$2:$I$37003,"270*",'Accounting data'!$J$2:$J$37003,"1*",'Accounting data'!$K$2:$K$37003,"62*")+SUMIFS('Accounting data'!$G$2:$G$37003,'Accounting data'!$H$2:$H$37003,"1500*",'Accounting data'!$I$2:$I$37003,"270*",'Accounting data'!$J$2:$J$37003,"1*",'Accounting data'!$K$2:$K$37003,"62*")</f>
        <v>0</v>
      </c>
      <c r="F25" s="596">
        <f>SUMIFS('Accounting data'!$G$2:$G$37003,'Accounting data'!$H$2:$H$37003,"1000*",'Accounting data'!$I$2:$I$37003,"200*",'Accounting data'!$J$2:$J$37003,"1*",'Accounting data'!$K$2:$K$37003,"63*")+SUMIFS('Accounting data'!$G$2:$G$37003,'Accounting data'!$H$2:$H$37003,"1500*",'Accounting data'!$I$2:$I$37003,"200*",'Accounting data'!$J$2:$J$37003,"1*",'Accounting data'!$K$2:$K$37003,"63*")+SUMIFS('Accounting data'!$G$2:$G$37003,'Accounting data'!$H$2:$H$37003,"1000*",'Accounting data'!$I$2:$I$37003,"270*",'Accounting data'!$J$2:$J$37003,"1*",'Accounting data'!$K$2:$K$37003,"63*")+SUMIFS('Accounting data'!$G$2:$G$37003,'Accounting data'!$H$2:$H$37003,"1500*",'Accounting data'!$I$2:$I$37003,"270*",'Accounting data'!$J$2:$J$37003,"1*",'Accounting data'!$K$2:$K$37003,"63*")</f>
        <v>0</v>
      </c>
      <c r="G25" s="596">
        <f>SUMIFS('Accounting data'!$G$2:$G$37003,'Accounting data'!$H$2:$H$37003,"1000*",'Accounting data'!$I$2:$I$37003,"200*",'Accounting data'!$J$2:$J$37003,"1*",'Accounting data'!$K$2:$K$37003,"66*")+SUMIFS('Accounting data'!$G$2:$G$37003,'Accounting data'!$H$2:$H$37003,"1500*",'Accounting data'!$I$2:$I$37003,"200*",'Accounting data'!$J$2:$J$37003,"1*",'Accounting data'!$K$2:$K$37003,"66*")+SUMIFS('Accounting data'!$G$2:$G$37003,'Accounting data'!$H$2:$H$37003,"1000*",'Accounting data'!$I$2:$I$37003,"270*",'Accounting data'!$J$2:$J$37003,"1*",'Accounting data'!$K$2:$K$37003,"66*")+SUMIFS('Accounting data'!$G$2:$G$37003,'Accounting data'!$H$2:$H$37003,"1500*",'Accounting data'!$I$2:$I$37003,"270*",'Accounting data'!$J$2:$J$37003,"1*",'Accounting data'!$K$2:$K$37003,"66*")</f>
        <v>0</v>
      </c>
      <c r="H25" s="596">
        <f>SUMIFS('Accounting data'!$G$2:$G$37003,'Accounting data'!$H$2:$H$37003,"1000*",'Accounting data'!$I$2:$I$37003,"200*",'Accounting data'!$J$2:$J$37003,"1*",'Accounting data'!$K$2:$K$37003,"68*")+SUMIFS('Accounting data'!$G$2:$G$37003,'Accounting data'!$H$2:$H$37003,"1500*",'Accounting data'!$I$2:$I$37003,"200*",'Accounting data'!$J$2:$J$37003,"1*",'Accounting data'!$K$2:$K$37003,"68*")+SUMIFS('Accounting data'!$G$2:$G$37003,'Accounting data'!$H$2:$H$37003,"1000*",'Accounting data'!$I$2:$I$37003,"270*",'Accounting data'!$J$2:$J$37003,"1*",'Accounting data'!$K$2:$K$37003,"68*")+SUMIFS('Accounting data'!$G$2:$G$37003,'Accounting data'!$H$2:$H$37003,"1500*",'Accounting data'!$I$2:$I$37003,"270*",'Accounting data'!$J$2:$J$37003,"1*",'Accounting data'!$K$2:$K$37003,"68*")</f>
        <v>0</v>
      </c>
      <c r="I25" s="596">
        <f>[3]!SP1000P200F1000</f>
        <v>1361</v>
      </c>
      <c r="J25" s="596">
        <f>SUM(D25:H25)</f>
        <v>0</v>
      </c>
      <c r="K25" s="596">
        <f>[1]!SP1000P200F1000</f>
        <v>0</v>
      </c>
      <c r="L25" s="736"/>
      <c r="M25" s="66" t="s">
        <v>57</v>
      </c>
      <c r="Y25" s="589"/>
    </row>
    <row r="26" spans="1:25" ht="12" customHeight="1" x14ac:dyDescent="0.25">
      <c r="A26" s="89" t="s">
        <v>123</v>
      </c>
      <c r="C26" s="90"/>
      <c r="D26" s="88"/>
      <c r="E26" s="88"/>
      <c r="F26" s="88"/>
      <c r="G26" s="88"/>
      <c r="H26" s="88"/>
      <c r="I26" s="88"/>
      <c r="J26" s="88"/>
      <c r="K26" s="88"/>
      <c r="L26" s="735">
        <f>IF(J27=K27,0,IF(K27&gt;0,(J27-K27)/K27,"--"))</f>
        <v>2.0400000000000001E-2</v>
      </c>
      <c r="M26" s="66"/>
      <c r="T26" s="589"/>
    </row>
    <row r="27" spans="1:25" ht="12" customHeight="1" x14ac:dyDescent="0.25">
      <c r="A27" s="89" t="s">
        <v>124</v>
      </c>
      <c r="C27" s="90" t="s">
        <v>59</v>
      </c>
      <c r="D27" s="596">
        <f>SUMIFS('Accounting data'!$G$2:$G$37003,'Accounting data'!$H$2:$H$37003,"1000*",'Accounting data'!$I$2:$I$37003,"200*",'Accounting data'!$J$2:$J$37003,"21*",'Accounting data'!$K$2:$K$37003,"61*")+SUMIFS('Accounting data'!$G$2:$G$37003,'Accounting data'!$H$2:$H$37003,"1500*",'Accounting data'!$I$2:$I$37003,"200*",'Accounting data'!$J$2:$J$37003,"21*",'Accounting data'!$K$2:$K$37003,"61*")+SUMIFS('Accounting data'!$G$2:$G$37003,'Accounting data'!$H$2:$H$37003,"1000*",'Accounting data'!$I$2:$I$37003,"270*",'Accounting data'!$J$2:$J$37003,"21*",'Accounting data'!$K$2:$K$37003,"61*")+SUMIFS('Accounting data'!$G$2:$G$37003,'Accounting data'!$H$2:$H$37003,"1500*",'Accounting data'!$I$2:$I$37003,"270*",'Accounting data'!$J$2:$J$37003,"21*",'Accounting data'!$K$2:$K$37003,"61*")</f>
        <v>0</v>
      </c>
      <c r="E27" s="596">
        <f>SUMIFS('Accounting data'!$G$2:$G$37003,'Accounting data'!$H$2:$H$37003,"1000*",'Accounting data'!$I$2:$I$37003,"200*",'Accounting data'!$J$2:$J$37003,"21*",'Accounting data'!$K$2:$K$37003,"62*")+SUMIFS('Accounting data'!$G$2:$G$37003,'Accounting data'!$H$2:$H$37003,"1500*",'Accounting data'!$I$2:$I$37003,"200*",'Accounting data'!$J$2:$J$37003,"21*",'Accounting data'!$K$2:$K$37003,"62*")+SUMIFS('Accounting data'!$G$2:$G$37003,'Accounting data'!$H$2:$H$37003,"1000*",'Accounting data'!$I$2:$I$37003,"270*",'Accounting data'!$J$2:$J$37003,"21*",'Accounting data'!$K$2:$K$37003,"62*")+SUMIFS('Accounting data'!$G$2:$G$37003,'Accounting data'!$H$2:$H$37003,"1500*",'Accounting data'!$I$2:$I$37003,"270*",'Accounting data'!$J$2:$J$37003,"21*",'Accounting data'!$K$2:$K$37003,"62*")</f>
        <v>0</v>
      </c>
      <c r="F27" s="596">
        <f>SUMIFS('Accounting data'!$G$2:$G$37003,'Accounting data'!$H$2:$H$37003,"1000*",'Accounting data'!$I$2:$I$37003,"200*",'Accounting data'!$J$2:$J$37003,"21*",'Accounting data'!$K$2:$K$37003,"63*")+SUMIFS('Accounting data'!$G$2:$G$37003,'Accounting data'!$H$2:$H$37003,"1500*",'Accounting data'!$I$2:$I$37003,"200*",'Accounting data'!$J$2:$J$37003,"21*",'Accounting data'!$K$2:$K$37003,"63*")+SUMIFS('Accounting data'!$G$2:$G$37003,'Accounting data'!$H$2:$H$37003,"1000*",'Accounting data'!$I$2:$I$37003,"270*",'Accounting data'!$J$2:$J$37003,"21*",'Accounting data'!$K$2:$K$37003,"63*")+SUMIFS('Accounting data'!$G$2:$G$37003,'Accounting data'!$H$2:$H$37003,"1500*",'Accounting data'!$I$2:$I$37003,"270*",'Accounting data'!$J$2:$J$37003,"21*",'Accounting data'!$K$2:$K$37003,"63*")</f>
        <v>1300</v>
      </c>
      <c r="G27" s="596">
        <f>SUMIFS('Accounting data'!$G$2:$G$37003,'Accounting data'!$H$2:$H$37003,"1000*",'Accounting data'!$I$2:$I$37003,"200*",'Accounting data'!$J$2:$J$37003,"21*",'Accounting data'!$K$2:$K$37003,"66*")+SUMIFS('Accounting data'!$G$2:$G$37003,'Accounting data'!$H$2:$H$37003,"1500*",'Accounting data'!$I$2:$I$37003,"200*",'Accounting data'!$J$2:$J$37003,"21*",'Accounting data'!$K$2:$K$37003,"66*")+SUMIFS('Accounting data'!$G$2:$G$37003,'Accounting data'!$H$2:$H$37003,"1000*",'Accounting data'!$I$2:$I$37003,"270*",'Accounting data'!$J$2:$J$37003,"21*",'Accounting data'!$K$2:$K$37003,"66*")+SUMIFS('Accounting data'!$G$2:$G$37003,'Accounting data'!$H$2:$H$37003,"1500*",'Accounting data'!$I$2:$I$37003,"270*",'Accounting data'!$J$2:$J$37003,"21*",'Accounting data'!$K$2:$K$37003,"66*")</f>
        <v>0</v>
      </c>
      <c r="H27" s="596">
        <f>SUMIFS('Accounting data'!$G$2:$G$37003,'Accounting data'!$H$2:$H$37003,"1000*",'Accounting data'!$I$2:$I$37003,"200*",'Accounting data'!$J$2:$J$37003,"21*",'Accounting data'!$K$2:$K$37003,"68*")+SUMIFS('Accounting data'!$G$2:$G$37003,'Accounting data'!$H$2:$H$37003,"1500*",'Accounting data'!$I$2:$I$37003,"200*",'Accounting data'!$J$2:$J$37003,"21*",'Accounting data'!$K$2:$K$37003,"68*")+SUMIFS('Accounting data'!$G$2:$G$37003,'Accounting data'!$H$2:$H$37003,"1000*",'Accounting data'!$I$2:$I$37003,"270*",'Accounting data'!$J$2:$J$37003,"21*",'Accounting data'!$K$2:$K$37003,"68*")+SUMIFS('Accounting data'!$G$2:$G$37003,'Accounting data'!$H$2:$H$37003,"1500*",'Accounting data'!$I$2:$I$37003,"270*",'Accounting data'!$J$2:$J$37003,"21*",'Accounting data'!$K$2:$K$37003,"68*")</f>
        <v>0</v>
      </c>
      <c r="I27" s="596">
        <f>[3]!SP1000P200F2100</f>
        <v>0</v>
      </c>
      <c r="J27" s="596">
        <f>SUM(D27:H27)</f>
        <v>1300</v>
      </c>
      <c r="K27" s="596">
        <f>[1]!SP1000P200F2100</f>
        <v>1274</v>
      </c>
      <c r="L27" s="736"/>
      <c r="M27" s="66" t="s">
        <v>59</v>
      </c>
    </row>
    <row r="28" spans="1:25" ht="12" customHeight="1" x14ac:dyDescent="0.25">
      <c r="A28" s="89" t="s">
        <v>125</v>
      </c>
      <c r="C28" s="90" t="s">
        <v>61</v>
      </c>
      <c r="D28" s="592">
        <f>SUMIFS('Accounting data'!$G$2:$G$37003,'Accounting data'!$H$2:$H$37003,"1000*",'Accounting data'!$I$2:$I$37003,"200*",'Accounting data'!$J$2:$J$37003,"22*",'Accounting data'!$K$2:$K$37003,"61*")+SUMIFS('Accounting data'!$G$2:$G$37003,'Accounting data'!$H$2:$H$37003,"1500*",'Accounting data'!$I$2:$I$37003,"200*",'Accounting data'!$J$2:$J$37003,"22*",'Accounting data'!$K$2:$K$37003,"61*")+SUMIFS('Accounting data'!$G$2:$G$37003,'Accounting data'!$H$2:$H$37003,"1000*",'Accounting data'!$I$2:$I$37003,"270*",'Accounting data'!$J$2:$J$37003,"22*",'Accounting data'!$K$2:$K$37003,"61*")+SUMIFS('Accounting data'!$G$2:$G$37003,'Accounting data'!$H$2:$H$37003,"1500*",'Accounting data'!$I$2:$I$37003,"270*",'Accounting data'!$J$2:$J$37003,"22*",'Accounting data'!$K$2:$K$37003,"61*")</f>
        <v>0</v>
      </c>
      <c r="E28" s="592">
        <f>SUMIFS('Accounting data'!$G$2:$G$37003,'Accounting data'!$H$2:$H$37003,"1000*",'Accounting data'!$I$2:$I$37003,"200*",'Accounting data'!$J$2:$J$37003,"22*",'Accounting data'!$K$2:$K$37003,"62*")+SUMIFS('Accounting data'!$G$2:$G$37003,'Accounting data'!$H$2:$H$37003,"1500*",'Accounting data'!$I$2:$I$37003,"200*",'Accounting data'!$J$2:$J$37003,"22*",'Accounting data'!$K$2:$K$37003,"62*")+SUMIFS('Accounting data'!$G$2:$G$37003,'Accounting data'!$H$2:$H$37003,"1000*",'Accounting data'!$I$2:$I$37003,"270*",'Accounting data'!$J$2:$J$37003,"22*",'Accounting data'!$K$2:$K$37003,"62*")+SUMIFS('Accounting data'!$G$2:$G$37003,'Accounting data'!$H$2:$H$37003,"1500*",'Accounting data'!$I$2:$I$37003,"270*",'Accounting data'!$J$2:$J$37003,"22*",'Accounting data'!$K$2:$K$37003,"62*")</f>
        <v>0</v>
      </c>
      <c r="F28" s="592">
        <f>SUMIFS('Accounting data'!$G$2:$G$37003,'Accounting data'!$H$2:$H$37003,"1000*",'Accounting data'!$I$2:$I$37003,"200*",'Accounting data'!$J$2:$J$37003,"22*",'Accounting data'!$K$2:$K$37003,"63*")+SUMIFS('Accounting data'!$G$2:$G$37003,'Accounting data'!$H$2:$H$37003,"1500*",'Accounting data'!$I$2:$I$37003,"200*",'Accounting data'!$J$2:$J$37003,"22*",'Accounting data'!$K$2:$K$37003,"63*")+SUMIFS('Accounting data'!$G$2:$G$37003,'Accounting data'!$H$2:$H$37003,"1000*",'Accounting data'!$I$2:$I$37003,"270*",'Accounting data'!$J$2:$J$37003,"22*",'Accounting data'!$K$2:$K$37003,"63*")+SUMIFS('Accounting data'!$G$2:$G$37003,'Accounting data'!$H$2:$H$37003,"1500*",'Accounting data'!$I$2:$I$37003,"270*",'Accounting data'!$J$2:$J$37003,"22*",'Accounting data'!$K$2:$K$37003,"63*")</f>
        <v>0</v>
      </c>
      <c r="G28" s="592">
        <f>SUMIFS('Accounting data'!$G$2:$G$37003,'Accounting data'!$H$2:$H$37003,"1000*",'Accounting data'!$I$2:$I$37003,"200*",'Accounting data'!$J$2:$J$37003,"22*",'Accounting data'!$K$2:$K$37003,"66*")+SUMIFS('Accounting data'!$G$2:$G$37003,'Accounting data'!$H$2:$H$37003,"1500*",'Accounting data'!$I$2:$I$37003,"200*",'Accounting data'!$J$2:$J$37003,"22*",'Accounting data'!$K$2:$K$37003,"66*")+SUMIFS('Accounting data'!$G$2:$G$37003,'Accounting data'!$H$2:$H$37003,"1000*",'Accounting data'!$I$2:$I$37003,"270*",'Accounting data'!$J$2:$J$37003,"22*",'Accounting data'!$K$2:$K$37003,"66*")+SUMIFS('Accounting data'!$G$2:$G$37003,'Accounting data'!$H$2:$H$37003,"1500*",'Accounting data'!$I$2:$I$37003,"270*",'Accounting data'!$J$2:$J$37003,"22*",'Accounting data'!$K$2:$K$37003,"66*")</f>
        <v>0</v>
      </c>
      <c r="H28" s="592">
        <f>SUMIFS('Accounting data'!$G$2:$G$37003,'Accounting data'!$H$2:$H$37003,"1000*",'Accounting data'!$I$2:$I$37003,"200*",'Accounting data'!$J$2:$J$37003,"22*",'Accounting data'!$K$2:$K$37003,"68*")+SUMIFS('Accounting data'!$G$2:$G$37003,'Accounting data'!$H$2:$H$37003,"1500*",'Accounting data'!$I$2:$I$37003,"200*",'Accounting data'!$J$2:$J$37003,"22*",'Accounting data'!$K$2:$K$37003,"68*")+SUMIFS('Accounting data'!$G$2:$G$37003,'Accounting data'!$H$2:$H$37003,"1000*",'Accounting data'!$I$2:$I$37003,"270*",'Accounting data'!$J$2:$J$37003,"22*",'Accounting data'!$K$2:$K$37003,"68*")+SUMIFS('Accounting data'!$G$2:$G$37003,'Accounting data'!$H$2:$H$37003,"1500*",'Accounting data'!$I$2:$I$37003,"270*",'Accounting data'!$J$2:$J$37003,"22*",'Accounting data'!$K$2:$K$37003,"68*")</f>
        <v>0</v>
      </c>
      <c r="I28" s="591">
        <f>[3]!SP1000P200F2200</f>
        <v>0</v>
      </c>
      <c r="J28" s="593">
        <f t="shared" ref="J28:J36" si="3">SUM(D28:H28)</f>
        <v>0</v>
      </c>
      <c r="K28" s="591">
        <f>[1]!SP1000P200F2200</f>
        <v>0</v>
      </c>
      <c r="L28" s="594">
        <f t="shared" ref="L28:L48" si="4">IF(J28=K28,0,IF(K28&gt;0,(J28-K28)/K28,"--"))</f>
        <v>0</v>
      </c>
      <c r="M28" s="66" t="s">
        <v>61</v>
      </c>
    </row>
    <row r="29" spans="1:25" ht="12" customHeight="1" x14ac:dyDescent="0.25">
      <c r="A29" s="89" t="s">
        <v>126</v>
      </c>
      <c r="C29" s="90" t="s">
        <v>63</v>
      </c>
      <c r="D29" s="592">
        <f>SUMIFS('Accounting data'!$G$2:$G$37003,'Accounting data'!$H$2:$H$37003,"1000*",'Accounting data'!$I$2:$I$37003,"200*",'Accounting data'!$J$2:$J$37003,"23*",'Accounting data'!$K$2:$K$37003,"61*")+SUMIFS('Accounting data'!$G$2:$G$37003,'Accounting data'!$H$2:$H$37003,"1500*",'Accounting data'!$I$2:$I$37003,"200*",'Accounting data'!$J$2:$J$37003,"23*",'Accounting data'!$K$2:$K$37003,"61*")+SUMIFS('Accounting data'!$G$2:$G$37003,'Accounting data'!$H$2:$H$37003,"1000*",'Accounting data'!$I$2:$I$37003,"270*",'Accounting data'!$J$2:$J$37003,"23*",'Accounting data'!$K$2:$K$37003,"61*")+SUMIFS('Accounting data'!$G$2:$G$37003,'Accounting data'!$H$2:$H$37003,"1500*",'Accounting data'!$I$2:$I$37003,"270*",'Accounting data'!$J$2:$J$37003,"23*",'Accounting data'!$K$2:$K$37003,"61*")</f>
        <v>0</v>
      </c>
      <c r="E29" s="592">
        <f>SUMIFS('Accounting data'!$G$2:$G$37003,'Accounting data'!$H$2:$H$37003,"1000*",'Accounting data'!$I$2:$I$37003,"200*",'Accounting data'!$J$2:$J$37003,"23*",'Accounting data'!$K$2:$K$37003,"62*")+SUMIFS('Accounting data'!$G$2:$G$37003,'Accounting data'!$H$2:$H$37003,"1500*",'Accounting data'!$I$2:$I$37003,"200*",'Accounting data'!$J$2:$J$37003,"23*",'Accounting data'!$K$2:$K$37003,"62*")+SUMIFS('Accounting data'!$G$2:$G$37003,'Accounting data'!$H$2:$H$37003,"1000*",'Accounting data'!$I$2:$I$37003,"270*",'Accounting data'!$J$2:$J$37003,"23*",'Accounting data'!$K$2:$K$37003,"62*")+SUMIFS('Accounting data'!$G$2:$G$37003,'Accounting data'!$H$2:$H$37003,"1500*",'Accounting data'!$I$2:$I$37003,"270*",'Accounting data'!$J$2:$J$37003,"23*",'Accounting data'!$K$2:$K$37003,"62*")</f>
        <v>0</v>
      </c>
      <c r="F29" s="592">
        <f>SUMIFS('Accounting data'!$G$2:$G$37003,'Accounting data'!$H$2:$H$37003,"1000*",'Accounting data'!$I$2:$I$37003,"200*",'Accounting data'!$J$2:$J$37003,"23*",'Accounting data'!$K$2:$K$37003,"63*")+SUMIFS('Accounting data'!$G$2:$G$37003,'Accounting data'!$H$2:$H$37003,"1500*",'Accounting data'!$I$2:$I$37003,"200*",'Accounting data'!$J$2:$J$37003,"23*",'Accounting data'!$K$2:$K$37003,"63*")+SUMIFS('Accounting data'!$G$2:$G$37003,'Accounting data'!$H$2:$H$37003,"1000*",'Accounting data'!$I$2:$I$37003,"270*",'Accounting data'!$J$2:$J$37003,"23*",'Accounting data'!$K$2:$K$37003,"63*")+SUMIFS('Accounting data'!$G$2:$G$37003,'Accounting data'!$H$2:$H$37003,"1500*",'Accounting data'!$I$2:$I$37003,"270*",'Accounting data'!$J$2:$J$37003,"23*",'Accounting data'!$K$2:$K$37003,"63*")</f>
        <v>0</v>
      </c>
      <c r="G29" s="592">
        <f>SUMIFS('Accounting data'!$G$2:$G$37003,'Accounting data'!$H$2:$H$37003,"1000*",'Accounting data'!$I$2:$I$37003,"200*",'Accounting data'!$J$2:$J$37003,"23*",'Accounting data'!$K$2:$K$37003,"66*")+SUMIFS('Accounting data'!$G$2:$G$37003,'Accounting data'!$H$2:$H$37003,"1500*",'Accounting data'!$I$2:$I$37003,"200*",'Accounting data'!$J$2:$J$37003,"23*",'Accounting data'!$K$2:$K$37003,"66*")+SUMIFS('Accounting data'!$G$2:$G$37003,'Accounting data'!$H$2:$H$37003,"1000*",'Accounting data'!$I$2:$I$37003,"270*",'Accounting data'!$J$2:$J$37003,"23*",'Accounting data'!$K$2:$K$37003,"66*")+SUMIFS('Accounting data'!$G$2:$G$37003,'Accounting data'!$H$2:$H$37003,"1500*",'Accounting data'!$I$2:$I$37003,"270*",'Accounting data'!$J$2:$J$37003,"23*",'Accounting data'!$K$2:$K$37003,"66*")</f>
        <v>0</v>
      </c>
      <c r="H29" s="592">
        <f>SUMIFS('Accounting data'!$G$2:$G$37003,'Accounting data'!$H$2:$H$37003,"1000*",'Accounting data'!$I$2:$I$37003,"200*",'Accounting data'!$J$2:$J$37003,"23*",'Accounting data'!$K$2:$K$37003,"68*")+SUMIFS('Accounting data'!$G$2:$G$37003,'Accounting data'!$H$2:$H$37003,"1500*",'Accounting data'!$I$2:$I$37003,"200*",'Accounting data'!$J$2:$J$37003,"23*",'Accounting data'!$K$2:$K$37003,"68*")+SUMIFS('Accounting data'!$G$2:$G$37003,'Accounting data'!$H$2:$H$37003,"1000*",'Accounting data'!$I$2:$I$37003,"270*",'Accounting data'!$J$2:$J$37003,"23*",'Accounting data'!$K$2:$K$37003,"68*")+SUMIFS('Accounting data'!$G$2:$G$37003,'Accounting data'!$H$2:$H$37003,"1500*",'Accounting data'!$I$2:$I$37003,"270*",'Accounting data'!$J$2:$J$37003,"23*",'Accounting data'!$K$2:$K$37003,"68*")</f>
        <v>0</v>
      </c>
      <c r="I29" s="591">
        <f>[3]!SP1000P200F2300</f>
        <v>0</v>
      </c>
      <c r="J29" s="593">
        <f t="shared" si="3"/>
        <v>0</v>
      </c>
      <c r="K29" s="591">
        <f>[1]!SP1000P200F2300</f>
        <v>0</v>
      </c>
      <c r="L29" s="594">
        <f t="shared" si="4"/>
        <v>0</v>
      </c>
      <c r="M29" s="66" t="s">
        <v>63</v>
      </c>
    </row>
    <row r="30" spans="1:25" ht="12" customHeight="1" x14ac:dyDescent="0.25">
      <c r="A30" s="89" t="s">
        <v>127</v>
      </c>
      <c r="C30" s="90" t="s">
        <v>65</v>
      </c>
      <c r="D30" s="592">
        <f>SUMIFS('Accounting data'!$G$2:$G$37003,'Accounting data'!$H$2:$H$37003,"1000*",'Accounting data'!$I$2:$I$37003,"200*",'Accounting data'!$J$2:$J$37003,"24*",'Accounting data'!$K$2:$K$37003,"61*")+SUMIFS('Accounting data'!$G$2:$G$37003,'Accounting data'!$H$2:$H$37003,"1500*",'Accounting data'!$I$2:$I$37003,"200*",'Accounting data'!$J$2:$J$37003,"24*",'Accounting data'!$K$2:$K$37003,"61*")+SUMIFS('Accounting data'!$G$2:$G$37003,'Accounting data'!$H$2:$H$37003,"1000*",'Accounting data'!$I$2:$I$37003,"270*",'Accounting data'!$J$2:$J$37003,"24*",'Accounting data'!$K$2:$K$37003,"61*")+SUMIFS('Accounting data'!$G$2:$G$37003,'Accounting data'!$H$2:$H$37003,"1500*",'Accounting data'!$I$2:$I$37003,"270*",'Accounting data'!$J$2:$J$37003,"24*",'Accounting data'!$K$2:$K$37003,"61*")</f>
        <v>0</v>
      </c>
      <c r="E30" s="592">
        <f>SUMIFS('Accounting data'!$G$2:$G$37003,'Accounting data'!$H$2:$H$37003,"1000*",'Accounting data'!$I$2:$I$37003,"200*",'Accounting data'!$J$2:$J$37003,"24*",'Accounting data'!$K$2:$K$37003,"62*")+SUMIFS('Accounting data'!$G$2:$G$37003,'Accounting data'!$H$2:$H$37003,"1500*",'Accounting data'!$I$2:$I$37003,"200*",'Accounting data'!$J$2:$J$37003,"24*",'Accounting data'!$K$2:$K$37003,"62*")+SUMIFS('Accounting data'!$G$2:$G$37003,'Accounting data'!$H$2:$H$37003,"1000*",'Accounting data'!$I$2:$I$37003,"270*",'Accounting data'!$J$2:$J$37003,"24*",'Accounting data'!$K$2:$K$37003,"62*")+SUMIFS('Accounting data'!$G$2:$G$37003,'Accounting data'!$H$2:$H$37003,"1500*",'Accounting data'!$I$2:$I$37003,"270*",'Accounting data'!$J$2:$J$37003,"24*",'Accounting data'!$K$2:$K$37003,"62*")</f>
        <v>0</v>
      </c>
      <c r="F30" s="592">
        <f>SUMIFS('Accounting data'!$G$2:$G$37003,'Accounting data'!$H$2:$H$37003,"1000*",'Accounting data'!$I$2:$I$37003,"200*",'Accounting data'!$J$2:$J$37003,"24*",'Accounting data'!$K$2:$K$37003,"63*")+SUMIFS('Accounting data'!$G$2:$G$37003,'Accounting data'!$H$2:$H$37003,"1500*",'Accounting data'!$I$2:$I$37003,"200*",'Accounting data'!$J$2:$J$37003,"24*",'Accounting data'!$K$2:$K$37003,"63*")+SUMIFS('Accounting data'!$G$2:$G$37003,'Accounting data'!$H$2:$H$37003,"1000*",'Accounting data'!$I$2:$I$37003,"270*",'Accounting data'!$J$2:$J$37003,"24*",'Accounting data'!$K$2:$K$37003,"63*")+SUMIFS('Accounting data'!$G$2:$G$37003,'Accounting data'!$H$2:$H$37003,"1500*",'Accounting data'!$I$2:$I$37003,"270*",'Accounting data'!$J$2:$J$37003,"24*",'Accounting data'!$K$2:$K$37003,"63*")</f>
        <v>0</v>
      </c>
      <c r="G30" s="592">
        <f>SUMIFS('Accounting data'!$G$2:$G$37003,'Accounting data'!$H$2:$H$37003,"1000*",'Accounting data'!$I$2:$I$37003,"200*",'Accounting data'!$J$2:$J$37003,"24*",'Accounting data'!$K$2:$K$37003,"66*")+SUMIFS('Accounting data'!$G$2:$G$37003,'Accounting data'!$H$2:$H$37003,"1500*",'Accounting data'!$I$2:$I$37003,"200*",'Accounting data'!$J$2:$J$37003,"24*",'Accounting data'!$K$2:$K$37003,"66*")+SUMIFS('Accounting data'!$G$2:$G$37003,'Accounting data'!$H$2:$H$37003,"1000*",'Accounting data'!$I$2:$I$37003,"270*",'Accounting data'!$J$2:$J$37003,"24*",'Accounting data'!$K$2:$K$37003,"66*")+SUMIFS('Accounting data'!$G$2:$G$37003,'Accounting data'!$H$2:$H$37003,"1500*",'Accounting data'!$I$2:$I$37003,"270*",'Accounting data'!$J$2:$J$37003,"24*",'Accounting data'!$K$2:$K$37003,"66*")</f>
        <v>0</v>
      </c>
      <c r="H30" s="592">
        <f>SUMIFS('Accounting data'!$G$2:$G$37003,'Accounting data'!$H$2:$H$37003,"1000*",'Accounting data'!$I$2:$I$37003,"200*",'Accounting data'!$J$2:$J$37003,"24*",'Accounting data'!$K$2:$K$37003,"68*")+SUMIFS('Accounting data'!$G$2:$G$37003,'Accounting data'!$H$2:$H$37003,"1500*",'Accounting data'!$I$2:$I$37003,"200*",'Accounting data'!$J$2:$J$37003,"24*",'Accounting data'!$K$2:$K$37003,"68*")+SUMIFS('Accounting data'!$G$2:$G$37003,'Accounting data'!$H$2:$H$37003,"1000*",'Accounting data'!$I$2:$I$37003,"270*",'Accounting data'!$J$2:$J$37003,"24*",'Accounting data'!$K$2:$K$37003,"68*")+SUMIFS('Accounting data'!$G$2:$G$37003,'Accounting data'!$H$2:$H$37003,"1500*",'Accounting data'!$I$2:$I$37003,"270*",'Accounting data'!$J$2:$J$37003,"24*",'Accounting data'!$K$2:$K$37003,"68*")</f>
        <v>0</v>
      </c>
      <c r="I30" s="591">
        <f>[3]!SP1000P200F2400</f>
        <v>0</v>
      </c>
      <c r="J30" s="593">
        <f t="shared" si="3"/>
        <v>0</v>
      </c>
      <c r="K30" s="591">
        <f>[1]!SP1000P200F2400</f>
        <v>0</v>
      </c>
      <c r="L30" s="594">
        <f t="shared" si="4"/>
        <v>0</v>
      </c>
      <c r="M30" s="66" t="s">
        <v>65</v>
      </c>
    </row>
    <row r="31" spans="1:25" ht="12" customHeight="1" x14ac:dyDescent="0.25">
      <c r="A31" s="89" t="s">
        <v>128</v>
      </c>
      <c r="C31" s="90" t="s">
        <v>67</v>
      </c>
      <c r="D31" s="592">
        <f>SUMIFS('Accounting data'!$G$2:$G$37003,'Accounting data'!$H$2:$H$37003,"1000*",'Accounting data'!$I$2:$I$37003,"200*",'Accounting data'!$J$2:$J$37003,"25*",'Accounting data'!$K$2:$K$37003,"61*")+SUMIFS('Accounting data'!$G$2:$G$37003,'Accounting data'!$H$2:$H$37003,"1500*",'Accounting data'!$I$2:$I$37003,"200*",'Accounting data'!$J$2:$J$37003,"25*",'Accounting data'!$K$2:$K$37003,"61*")+SUMIFS('Accounting data'!$G$2:$G$37003,'Accounting data'!$H$2:$H$37003,"1000*",'Accounting data'!$I$2:$I$37003,"270*",'Accounting data'!$J$2:$J$37003,"25*",'Accounting data'!$K$2:$K$37003,"61*")+SUMIFS('Accounting data'!$G$2:$G$37003,'Accounting data'!$H$2:$H$37003,"1500*",'Accounting data'!$I$2:$I$37003,"270*",'Accounting data'!$J$2:$J$37003,"25*",'Accounting data'!$K$2:$K$37003,"61*")</f>
        <v>0</v>
      </c>
      <c r="E31" s="592">
        <f>SUMIFS('Accounting data'!$G$2:$G$37003,'Accounting data'!$H$2:$H$37003,"1000*",'Accounting data'!$I$2:$I$37003,"200*",'Accounting data'!$J$2:$J$37003,"25*",'Accounting data'!$K$2:$K$37003,"62*")+SUMIFS('Accounting data'!$G$2:$G$37003,'Accounting data'!$H$2:$H$37003,"1500*",'Accounting data'!$I$2:$I$37003,"200*",'Accounting data'!$J$2:$J$37003,"25*",'Accounting data'!$K$2:$K$37003,"62*")+SUMIFS('Accounting data'!$G$2:$G$37003,'Accounting data'!$H$2:$H$37003,"1000*",'Accounting data'!$I$2:$I$37003,"270*",'Accounting data'!$J$2:$J$37003,"25*",'Accounting data'!$K$2:$K$37003,"62*")+SUMIFS('Accounting data'!$G$2:$G$37003,'Accounting data'!$H$2:$H$37003,"1500*",'Accounting data'!$I$2:$I$37003,"270*",'Accounting data'!$J$2:$J$37003,"25*",'Accounting data'!$K$2:$K$37003,"62*")</f>
        <v>0</v>
      </c>
      <c r="F31" s="592">
        <f>SUMIFS('Accounting data'!$G$2:$G$37003,'Accounting data'!$H$2:$H$37003,"1000*",'Accounting data'!$I$2:$I$37003,"200*",'Accounting data'!$J$2:$J$37003,"25*",'Accounting data'!$K$2:$K$37003,"63*")+SUMIFS('Accounting data'!$G$2:$G$37003,'Accounting data'!$H$2:$H$37003,"1500*",'Accounting data'!$I$2:$I$37003,"200*",'Accounting data'!$J$2:$J$37003,"25*",'Accounting data'!$K$2:$K$37003,"63*")+SUMIFS('Accounting data'!$G$2:$G$37003,'Accounting data'!$H$2:$H$37003,"1000*",'Accounting data'!$I$2:$I$37003,"270*",'Accounting data'!$J$2:$J$37003,"25*",'Accounting data'!$K$2:$K$37003,"63*")+SUMIFS('Accounting data'!$G$2:$G$37003,'Accounting data'!$H$2:$H$37003,"1500*",'Accounting data'!$I$2:$I$37003,"270*",'Accounting data'!$J$2:$J$37003,"25*",'Accounting data'!$K$2:$K$37003,"63*")</f>
        <v>0</v>
      </c>
      <c r="G31" s="592">
        <f>SUMIFS('Accounting data'!$G$2:$G$37003,'Accounting data'!$H$2:$H$37003,"1000*",'Accounting data'!$I$2:$I$37003,"200*",'Accounting data'!$J$2:$J$37003,"25*",'Accounting data'!$K$2:$K$37003,"66*")+SUMIFS('Accounting data'!$G$2:$G$37003,'Accounting data'!$H$2:$H$37003,"1500*",'Accounting data'!$I$2:$I$37003,"200*",'Accounting data'!$J$2:$J$37003,"25*",'Accounting data'!$K$2:$K$37003,"66*")+SUMIFS('Accounting data'!$G$2:$G$37003,'Accounting data'!$H$2:$H$37003,"1000*",'Accounting data'!$I$2:$I$37003,"270*",'Accounting data'!$J$2:$J$37003,"25*",'Accounting data'!$K$2:$K$37003,"66*")+SUMIFS('Accounting data'!$G$2:$G$37003,'Accounting data'!$H$2:$H$37003,"1500*",'Accounting data'!$I$2:$I$37003,"270*",'Accounting data'!$J$2:$J$37003,"25*",'Accounting data'!$K$2:$K$37003,"66*")</f>
        <v>0</v>
      </c>
      <c r="H31" s="592">
        <f>SUMIFS('Accounting data'!$G$2:$G$37003,'Accounting data'!$H$2:$H$37003,"1000*",'Accounting data'!$I$2:$I$37003,"200*",'Accounting data'!$J$2:$J$37003,"25*",'Accounting data'!$K$2:$K$37003,"68*")+SUMIFS('Accounting data'!$G$2:$G$37003,'Accounting data'!$H$2:$H$37003,"1500*",'Accounting data'!$I$2:$I$37003,"200*",'Accounting data'!$J$2:$J$37003,"25*",'Accounting data'!$K$2:$K$37003,"68*")+SUMIFS('Accounting data'!$G$2:$G$37003,'Accounting data'!$H$2:$H$37003,"1000*",'Accounting data'!$I$2:$I$37003,"270*",'Accounting data'!$J$2:$J$37003,"25*",'Accounting data'!$K$2:$K$37003,"68*")+SUMIFS('Accounting data'!$G$2:$G$37003,'Accounting data'!$H$2:$H$37003,"1500*",'Accounting data'!$I$2:$I$37003,"270*",'Accounting data'!$J$2:$J$37003,"25*",'Accounting data'!$K$2:$K$37003,"68*")</f>
        <v>0</v>
      </c>
      <c r="I31" s="591">
        <f>[3]!SP1000P200F2500</f>
        <v>0</v>
      </c>
      <c r="J31" s="593">
        <f t="shared" si="3"/>
        <v>0</v>
      </c>
      <c r="K31" s="591">
        <f>[1]!SP1000P200F2500</f>
        <v>0</v>
      </c>
      <c r="L31" s="594">
        <f t="shared" si="4"/>
        <v>0</v>
      </c>
      <c r="M31" s="66" t="s">
        <v>67</v>
      </c>
    </row>
    <row r="32" spans="1:25" ht="12" customHeight="1" x14ac:dyDescent="0.25">
      <c r="A32" s="89" t="s">
        <v>129</v>
      </c>
      <c r="C32" s="90" t="s">
        <v>69</v>
      </c>
      <c r="D32" s="592">
        <f>SUMIFS('Accounting data'!$G$2:$G$37003,'Accounting data'!$H$2:$H$37003,"1000*",'Accounting data'!$I$2:$I$37003,"200*",'Accounting data'!$J$2:$J$37003,"26*",'Accounting data'!$K$2:$K$37003,"61*")+SUMIFS('Accounting data'!$G$2:$G$37003,'Accounting data'!$H$2:$H$37003,"1500*",'Accounting data'!$I$2:$I$37003,"200*",'Accounting data'!$J$2:$J$37003,"26*",'Accounting data'!$K$2:$K$37003,"61*")+SUMIFS('Accounting data'!$G$2:$G$37003,'Accounting data'!$H$2:$H$37003,"1000*",'Accounting data'!$I$2:$I$37003,"270*",'Accounting data'!$J$2:$J$37003,"26*",'Accounting data'!$K$2:$K$37003,"61*")+SUMIFS('Accounting data'!$G$2:$G$37003,'Accounting data'!$H$2:$H$37003,"1500*",'Accounting data'!$I$2:$I$37003,"270*",'Accounting data'!$J$2:$J$37003,"26*",'Accounting data'!$K$2:$K$37003,"61*")</f>
        <v>0</v>
      </c>
      <c r="E32" s="592">
        <f>SUMIFS('Accounting data'!$G$2:$G$37003,'Accounting data'!$H$2:$H$37003,"1000*",'Accounting data'!$I$2:$I$37003,"200*",'Accounting data'!$J$2:$J$37003,"26*",'Accounting data'!$K$2:$K$37003,"62*")+SUMIFS('Accounting data'!$G$2:$G$37003,'Accounting data'!$H$2:$H$37003,"1500*",'Accounting data'!$I$2:$I$37003,"200*",'Accounting data'!$J$2:$J$37003,"26*",'Accounting data'!$K$2:$K$37003,"62*")+SUMIFS('Accounting data'!$G$2:$G$37003,'Accounting data'!$H$2:$H$37003,"1000*",'Accounting data'!$I$2:$I$37003,"270*",'Accounting data'!$J$2:$J$37003,"26*",'Accounting data'!$K$2:$K$37003,"62*")+SUMIFS('Accounting data'!$G$2:$G$37003,'Accounting data'!$H$2:$H$37003,"1500*",'Accounting data'!$I$2:$I$37003,"270*",'Accounting data'!$J$2:$J$37003,"26*",'Accounting data'!$K$2:$K$37003,"62*")</f>
        <v>0</v>
      </c>
      <c r="F32" s="592">
        <f>SUMIFS('Accounting data'!$G$2:$G$37003,'Accounting data'!$H$2:$H$37003,"1000*",'Accounting data'!$I$2:$I$37003,"200*",'Accounting data'!$J$2:$J$37003,"26*",'Accounting data'!$K$2:$K$37003,"63*")+SUMIFS('Accounting data'!$G$2:$G$37003,'Accounting data'!$H$2:$H$37003,"1500*",'Accounting data'!$I$2:$I$37003,"200*",'Accounting data'!$J$2:$J$37003,"26*",'Accounting data'!$K$2:$K$37003,"63*")+SUMIFS('Accounting data'!$G$2:$G$37003,'Accounting data'!$H$2:$H$37003,"1000*",'Accounting data'!$I$2:$I$37003,"270*",'Accounting data'!$J$2:$J$37003,"26*",'Accounting data'!$K$2:$K$37003,"63*")+SUMIFS('Accounting data'!$G$2:$G$37003,'Accounting data'!$H$2:$H$37003,"1500*",'Accounting data'!$I$2:$I$37003,"270*",'Accounting data'!$J$2:$J$37003,"26*",'Accounting data'!$K$2:$K$37003,"63*")</f>
        <v>0</v>
      </c>
      <c r="G32" s="592">
        <f>SUMIFS('Accounting data'!$G$2:$G$37003,'Accounting data'!$H$2:$H$37003,"1000*",'Accounting data'!$I$2:$I$37003,"200*",'Accounting data'!$J$2:$J$37003,"26*",'Accounting data'!$K$2:$K$37003,"66*")+SUMIFS('Accounting data'!$G$2:$G$37003,'Accounting data'!$H$2:$H$37003,"1500*",'Accounting data'!$I$2:$I$37003,"200*",'Accounting data'!$J$2:$J$37003,"26*",'Accounting data'!$K$2:$K$37003,"66*")+SUMIFS('Accounting data'!$G$2:$G$37003,'Accounting data'!$H$2:$H$37003,"1000*",'Accounting data'!$I$2:$I$37003,"270*",'Accounting data'!$J$2:$J$37003,"26*",'Accounting data'!$K$2:$K$37003,"66*")+SUMIFS('Accounting data'!$G$2:$G$37003,'Accounting data'!$H$2:$H$37003,"1500*",'Accounting data'!$I$2:$I$37003,"270*",'Accounting data'!$J$2:$J$37003,"26*",'Accounting data'!$K$2:$K$37003,"66*")</f>
        <v>0</v>
      </c>
      <c r="H32" s="592">
        <f>SUMIFS('Accounting data'!$G$2:$G$37003,'Accounting data'!$H$2:$H$37003,"1000*",'Accounting data'!$I$2:$I$37003,"200*",'Accounting data'!$J$2:$J$37003,"26*",'Accounting data'!$K$2:$K$37003,"68*")+SUMIFS('Accounting data'!$G$2:$G$37003,'Accounting data'!$H$2:$H$37003,"1500*",'Accounting data'!$I$2:$I$37003,"200*",'Accounting data'!$J$2:$J$37003,"26*",'Accounting data'!$K$2:$K$37003,"68*")+SUMIFS('Accounting data'!$G$2:$G$37003,'Accounting data'!$H$2:$H$37003,"1000*",'Accounting data'!$I$2:$I$37003,"270*",'Accounting data'!$J$2:$J$37003,"26*",'Accounting data'!$K$2:$K$37003,"68*")+SUMIFS('Accounting data'!$G$2:$G$37003,'Accounting data'!$H$2:$H$37003,"1500*",'Accounting data'!$I$2:$I$37003,"270*",'Accounting data'!$J$2:$J$37003,"26*",'Accounting data'!$K$2:$K$37003,"68*")</f>
        <v>0</v>
      </c>
      <c r="I32" s="591">
        <f>[3]!SP1000P200F2600</f>
        <v>0</v>
      </c>
      <c r="J32" s="593">
        <f t="shared" si="3"/>
        <v>0</v>
      </c>
      <c r="K32" s="591">
        <f>[1]!SP1000P200F2600</f>
        <v>0</v>
      </c>
      <c r="L32" s="594">
        <f t="shared" si="4"/>
        <v>0</v>
      </c>
      <c r="M32" s="66" t="s">
        <v>69</v>
      </c>
    </row>
    <row r="33" spans="1:13" ht="12" customHeight="1" x14ac:dyDescent="0.25">
      <c r="A33" s="89" t="s">
        <v>130</v>
      </c>
      <c r="C33" s="90" t="s">
        <v>71</v>
      </c>
      <c r="D33" s="592">
        <f>SUMIFS('Accounting data'!$G$2:$G$37003,'Accounting data'!$H$2:$H$37003,"1000*",'Accounting data'!$I$2:$I$37003,"200*",'Accounting data'!$J$2:$J$37003,"29*",'Accounting data'!$K$2:$K$37003,"61*")+SUMIFS('Accounting data'!$G$2:$G$37003,'Accounting data'!$H$2:$H$37003,"1500*",'Accounting data'!$I$2:$I$37003,"200*",'Accounting data'!$J$2:$J$37003,"29*",'Accounting data'!$K$2:$K$37003,"61*")+SUMIFS('Accounting data'!$G$2:$G$37003,'Accounting data'!$H$2:$H$37003,"1000*",'Accounting data'!$I$2:$I$37003,"270*",'Accounting data'!$J$2:$J$37003,"29*",'Accounting data'!$K$2:$K$37003,"61*")+SUMIFS('Accounting data'!$G$2:$G$37003,'Accounting data'!$H$2:$H$37003,"1500*",'Accounting data'!$I$2:$I$37003,"270*",'Accounting data'!$J$2:$J$37003,"29*",'Accounting data'!$K$2:$K$37003,"61*")</f>
        <v>0</v>
      </c>
      <c r="E33" s="592">
        <f>SUMIFS('Accounting data'!$G$2:$G$37003,'Accounting data'!$H$2:$H$37003,"1000*",'Accounting data'!$I$2:$I$37003,"200*",'Accounting data'!$J$2:$J$37003,"29*",'Accounting data'!$K$2:$K$37003,"62*")+SUMIFS('Accounting data'!$G$2:$G$37003,'Accounting data'!$H$2:$H$37003,"1500*",'Accounting data'!$I$2:$I$37003,"200*",'Accounting data'!$J$2:$J$37003,"29*",'Accounting data'!$K$2:$K$37003,"62*")+SUMIFS('Accounting data'!$G$2:$G$37003,'Accounting data'!$H$2:$H$37003,"1000*",'Accounting data'!$I$2:$I$37003,"270*",'Accounting data'!$J$2:$J$37003,"29*",'Accounting data'!$K$2:$K$37003,"62*")+SUMIFS('Accounting data'!$G$2:$G$37003,'Accounting data'!$H$2:$H$37003,"1500*",'Accounting data'!$I$2:$I$37003,"270*",'Accounting data'!$J$2:$J$37003,"29*",'Accounting data'!$K$2:$K$37003,"62*")</f>
        <v>0</v>
      </c>
      <c r="F33" s="592">
        <f>SUMIFS('Accounting data'!$G$2:$G$37003,'Accounting data'!$H$2:$H$37003,"1000*",'Accounting data'!$I$2:$I$37003,"200*",'Accounting data'!$J$2:$J$37003,"29*",'Accounting data'!$K$2:$K$37003,"63*")+SUMIFS('Accounting data'!$G$2:$G$37003,'Accounting data'!$H$2:$H$37003,"1500*",'Accounting data'!$I$2:$I$37003,"200*",'Accounting data'!$J$2:$J$37003,"29*",'Accounting data'!$K$2:$K$37003,"63*")+SUMIFS('Accounting data'!$G$2:$G$37003,'Accounting data'!$H$2:$H$37003,"1000*",'Accounting data'!$I$2:$I$37003,"270*",'Accounting data'!$J$2:$J$37003,"29*",'Accounting data'!$K$2:$K$37003,"63*")+SUMIFS('Accounting data'!$G$2:$G$37003,'Accounting data'!$H$2:$H$37003,"1500*",'Accounting data'!$I$2:$I$37003,"270*",'Accounting data'!$J$2:$J$37003,"29*",'Accounting data'!$K$2:$K$37003,"63*")</f>
        <v>0</v>
      </c>
      <c r="G33" s="592">
        <f>SUMIFS('Accounting data'!$G$2:$G$37003,'Accounting data'!$H$2:$H$37003,"1000*",'Accounting data'!$I$2:$I$37003,"200*",'Accounting data'!$J$2:$J$37003,"29*",'Accounting data'!$K$2:$K$37003,"66*")+SUMIFS('Accounting data'!$G$2:$G$37003,'Accounting data'!$H$2:$H$37003,"1500*",'Accounting data'!$I$2:$I$37003,"200*",'Accounting data'!$J$2:$J$37003,"29*",'Accounting data'!$K$2:$K$37003,"66*")+SUMIFS('Accounting data'!$G$2:$G$37003,'Accounting data'!$H$2:$H$37003,"1000*",'Accounting data'!$I$2:$I$37003,"270*",'Accounting data'!$J$2:$J$37003,"29*",'Accounting data'!$K$2:$K$37003,"66*")+SUMIFS('Accounting data'!$G$2:$G$37003,'Accounting data'!$H$2:$H$37003,"1500*",'Accounting data'!$I$2:$I$37003,"270*",'Accounting data'!$J$2:$J$37003,"29*",'Accounting data'!$K$2:$K$37003,"66*")</f>
        <v>0</v>
      </c>
      <c r="H33" s="592">
        <f>SUMIFS('Accounting data'!$G$2:$G$37003,'Accounting data'!$H$2:$H$37003,"1000*",'Accounting data'!$I$2:$I$37003,"200*",'Accounting data'!$J$2:$J$37003,"29*",'Accounting data'!$K$2:$K$37003,"68*")+SUMIFS('Accounting data'!$G$2:$G$37003,'Accounting data'!$H$2:$H$37003,"1500*",'Accounting data'!$I$2:$I$37003,"200*",'Accounting data'!$J$2:$J$37003,"29*",'Accounting data'!$K$2:$K$37003,"68*")+SUMIFS('Accounting data'!$G$2:$G$37003,'Accounting data'!$H$2:$H$37003,"1000*",'Accounting data'!$I$2:$I$37003,"270*",'Accounting data'!$J$2:$J$37003,"29*",'Accounting data'!$K$2:$K$37003,"68*")+SUMIFS('Accounting data'!$G$2:$G$37003,'Accounting data'!$H$2:$H$37003,"1500*",'Accounting data'!$I$2:$I$37003,"270*",'Accounting data'!$J$2:$J$37003,"29*",'Accounting data'!$K$2:$K$37003,"68*")</f>
        <v>0</v>
      </c>
      <c r="I33" s="591">
        <f>[3]!SP1000P200F2900</f>
        <v>0</v>
      </c>
      <c r="J33" s="593">
        <f t="shared" si="3"/>
        <v>0</v>
      </c>
      <c r="K33" s="591">
        <f>[1]!SP1000P200F2900</f>
        <v>0</v>
      </c>
      <c r="L33" s="594">
        <f t="shared" si="4"/>
        <v>0</v>
      </c>
      <c r="M33" s="66" t="s">
        <v>71</v>
      </c>
    </row>
    <row r="34" spans="1:13" ht="12" customHeight="1" x14ac:dyDescent="0.25">
      <c r="A34" s="89" t="s">
        <v>131</v>
      </c>
      <c r="C34" s="90" t="s">
        <v>73</v>
      </c>
      <c r="D34" s="592">
        <f>SUMIFS('Accounting data'!$G$2:$G$37003,'Accounting data'!$H$2:$H$37003,"1000*",'Accounting data'!$I$2:$I$37003,"200*",'Accounting data'!$J$2:$J$37003,"3*",'Accounting data'!$K$2:$K$37003,"61*")+SUMIFS('Accounting data'!$G$2:$G$37003,'Accounting data'!$H$2:$H$37003,"1500*",'Accounting data'!$I$2:$I$37003,"200*",'Accounting data'!$J$2:$J$37003,"3*",'Accounting data'!$K$2:$K$37003,"61*")+SUMIFS('Accounting data'!$G$2:$G$37003,'Accounting data'!$H$2:$H$37003,"1000*",'Accounting data'!$I$2:$I$37003,"270*",'Accounting data'!$J$2:$J$37003,"3*",'Accounting data'!$K$2:$K$37003,"61*")+SUMIFS('Accounting data'!$G$2:$G$37003,'Accounting data'!$H$2:$H$37003,"1500*",'Accounting data'!$I$2:$I$37003,"270*",'Accounting data'!$J$2:$J$37003,"3*",'Accounting data'!$K$2:$K$37003,"61*")</f>
        <v>0</v>
      </c>
      <c r="E34" s="592">
        <f>SUMIFS('Accounting data'!$G$2:$G$37003,'Accounting data'!$H$2:$H$37003,"1000*",'Accounting data'!$I$2:$I$37003,"200*",'Accounting data'!$J$2:$J$37003,"3*",'Accounting data'!$K$2:$K$37003,"62*")+SUMIFS('Accounting data'!$G$2:$G$37003,'Accounting data'!$H$2:$H$37003,"1500*",'Accounting data'!$I$2:$I$37003,"200*",'Accounting data'!$J$2:$J$37003,"3*",'Accounting data'!$K$2:$K$37003,"62*")+SUMIFS('Accounting data'!$G$2:$G$37003,'Accounting data'!$H$2:$H$37003,"1000*",'Accounting data'!$I$2:$I$37003,"270*",'Accounting data'!$J$2:$J$37003,"3*",'Accounting data'!$K$2:$K$37003,"62*")+SUMIFS('Accounting data'!$G$2:$G$37003,'Accounting data'!$H$2:$H$37003,"1500*",'Accounting data'!$I$2:$I$37003,"270*",'Accounting data'!$J$2:$J$37003,"3*",'Accounting data'!$K$2:$K$37003,"62*")</f>
        <v>0</v>
      </c>
      <c r="F34" s="592">
        <f>SUMIFS('Accounting data'!$G$2:$G$37003,'Accounting data'!$H$2:$H$37003,"1000*",'Accounting data'!$I$2:$I$37003,"200*",'Accounting data'!$J$2:$J$37003,"3*",'Accounting data'!$K$2:$K$37003,"63*")+SUMIFS('Accounting data'!$G$2:$G$37003,'Accounting data'!$H$2:$H$37003,"1500*",'Accounting data'!$I$2:$I$37003,"200*",'Accounting data'!$J$2:$J$37003,"3*",'Accounting data'!$K$2:$K$37003,"63*")+SUMIFS('Accounting data'!$G$2:$G$37003,'Accounting data'!$H$2:$H$37003,"1000*",'Accounting data'!$I$2:$I$37003,"270*",'Accounting data'!$J$2:$J$37003,"3*",'Accounting data'!$K$2:$K$37003,"63*")+SUMIFS('Accounting data'!$G$2:$G$37003,'Accounting data'!$H$2:$H$37003,"1500*",'Accounting data'!$I$2:$I$37003,"270*",'Accounting data'!$J$2:$J$37003,"3*",'Accounting data'!$K$2:$K$37003,"63*")</f>
        <v>0</v>
      </c>
      <c r="G34" s="592">
        <f>SUMIFS('Accounting data'!$G$2:$G$37003,'Accounting data'!$H$2:$H$37003,"1000*",'Accounting data'!$I$2:$I$37003,"200*",'Accounting data'!$J$2:$J$37003,"3*",'Accounting data'!$K$2:$K$37003,"66*")+SUMIFS('Accounting data'!$G$2:$G$37003,'Accounting data'!$H$2:$H$37003,"1500*",'Accounting data'!$I$2:$I$37003,"200*",'Accounting data'!$J$2:$J$37003,"3*",'Accounting data'!$K$2:$K$37003,"66*")+SUMIFS('Accounting data'!$G$2:$G$37003,'Accounting data'!$H$2:$H$37003,"1000*",'Accounting data'!$I$2:$I$37003,"270*",'Accounting data'!$J$2:$J$37003,"3*",'Accounting data'!$K$2:$K$37003,"66*")+SUMIFS('Accounting data'!$G$2:$G$37003,'Accounting data'!$H$2:$H$37003,"1500*",'Accounting data'!$I$2:$I$37003,"270*",'Accounting data'!$J$2:$J$37003,"3*",'Accounting data'!$K$2:$K$37003,"66*")</f>
        <v>0</v>
      </c>
      <c r="H34" s="592">
        <f>SUMIFS('Accounting data'!$G$2:$G$37003,'Accounting data'!$H$2:$H$37003,"1000*",'Accounting data'!$I$2:$I$37003,"200*",'Accounting data'!$J$2:$J$37003,"3*",'Accounting data'!$K$2:$K$37003,"68*")+SUMIFS('Accounting data'!$G$2:$G$37003,'Accounting data'!$H$2:$H$37003,"1500*",'Accounting data'!$I$2:$I$37003,"200*",'Accounting data'!$J$2:$J$37003,"3*",'Accounting data'!$K$2:$K$37003,"68*")+SUMIFS('Accounting data'!$G$2:$G$37003,'Accounting data'!$H$2:$H$37003,"1000*",'Accounting data'!$I$2:$I$37003,"270*",'Accounting data'!$J$2:$J$37003,"3*",'Accounting data'!$K$2:$K$37003,"68*")+SUMIFS('Accounting data'!$G$2:$G$37003,'Accounting data'!$H$2:$H$37003,"1500*",'Accounting data'!$I$2:$I$37003,"270*",'Accounting data'!$J$2:$J$37003,"3*",'Accounting data'!$K$2:$K$37003,"68*")</f>
        <v>0</v>
      </c>
      <c r="I34" s="591">
        <f>[3]!SP1000P200F3000</f>
        <v>0</v>
      </c>
      <c r="J34" s="593">
        <f t="shared" si="3"/>
        <v>0</v>
      </c>
      <c r="K34" s="591">
        <f>[1]!SP1000P200F3000</f>
        <v>0</v>
      </c>
      <c r="L34" s="594">
        <f t="shared" si="4"/>
        <v>0</v>
      </c>
      <c r="M34" s="66" t="s">
        <v>73</v>
      </c>
    </row>
    <row r="35" spans="1:13" ht="12" customHeight="1" x14ac:dyDescent="0.25">
      <c r="A35" s="89" t="s">
        <v>132</v>
      </c>
      <c r="C35" s="90" t="s">
        <v>75</v>
      </c>
      <c r="D35" s="592">
        <f>SUMIFS('Accounting data'!$G$2:$G$37003,'Accounting data'!$H$2:$H$37003,"1000*",'Accounting data'!$I$2:$I$37003,"200*",'Accounting data'!$J$2:$J$37003,"4*",'Accounting data'!$K$2:$K$37003,"61*")+SUMIFS('Accounting data'!$G$2:$G$37003,'Accounting data'!$H$2:$H$37003,"1500*",'Accounting data'!$I$2:$I$37003,"200*",'Accounting data'!$J$2:$J$37003,"4*",'Accounting data'!$K$2:$K$37003,"61*")+SUMIFS('Accounting data'!$G$2:$G$37003,'Accounting data'!$H$2:$H$37003,"1000*",'Accounting data'!$I$2:$I$37003,"270*",'Accounting data'!$J$2:$J$37003,"4*",'Accounting data'!$K$2:$K$37003,"61*")+SUMIFS('Accounting data'!$G$2:$G$37003,'Accounting data'!$H$2:$H$37003,"1500*",'Accounting data'!$I$2:$I$37003,"270*",'Accounting data'!$J$2:$J$37003,"4*",'Accounting data'!$K$2:$K$37003,"61*")</f>
        <v>0</v>
      </c>
      <c r="E35" s="592">
        <f>SUMIFS('Accounting data'!$G$2:$G$37003,'Accounting data'!$H$2:$H$37003,"1000*",'Accounting data'!$I$2:$I$37003,"200*",'Accounting data'!$J$2:$J$37003,"4*",'Accounting data'!$K$2:$K$37003,"62*")+SUMIFS('Accounting data'!$G$2:$G$37003,'Accounting data'!$H$2:$H$37003,"1500*",'Accounting data'!$I$2:$I$37003,"200*",'Accounting data'!$J$2:$J$37003,"4*",'Accounting data'!$K$2:$K$37003,"62*")+SUMIFS('Accounting data'!$G$2:$G$37003,'Accounting data'!$H$2:$H$37003,"1000*",'Accounting data'!$I$2:$I$37003,"270*",'Accounting data'!$J$2:$J$37003,"4*",'Accounting data'!$K$2:$K$37003,"62*")+SUMIFS('Accounting data'!$G$2:$G$37003,'Accounting data'!$H$2:$H$37003,"1500*",'Accounting data'!$I$2:$I$37003,"270*",'Accounting data'!$J$2:$J$37003,"4*",'Accounting data'!$K$2:$K$37003,"62*")</f>
        <v>0</v>
      </c>
      <c r="F35" s="592">
        <f>SUMIFS('Accounting data'!$G$2:$G$37003,'Accounting data'!$H$2:$H$37003,"1000*",'Accounting data'!$I$2:$I$37003,"200*",'Accounting data'!$J$2:$J$37003,"4*",'Accounting data'!$K$2:$K$37003,"63*")+SUMIFS('Accounting data'!$G$2:$G$37003,'Accounting data'!$H$2:$H$37003,"1500*",'Accounting data'!$I$2:$I$37003,"200*",'Accounting data'!$J$2:$J$37003,"4*",'Accounting data'!$K$2:$K$37003,"63*")+SUMIFS('Accounting data'!$G$2:$G$37003,'Accounting data'!$H$2:$H$37003,"1000*",'Accounting data'!$I$2:$I$37003,"270*",'Accounting data'!$J$2:$J$37003,"4*",'Accounting data'!$K$2:$K$37003,"63*")+SUMIFS('Accounting data'!$G$2:$G$37003,'Accounting data'!$H$2:$H$37003,"1500*",'Accounting data'!$I$2:$I$37003,"270*",'Accounting data'!$J$2:$J$37003,"4*",'Accounting data'!$K$2:$K$37003,"63*")</f>
        <v>0</v>
      </c>
      <c r="G35" s="592">
        <f>SUMIFS('Accounting data'!$G$2:$G$37003,'Accounting data'!$H$2:$H$37003,"1000*",'Accounting data'!$I$2:$I$37003,"200*",'Accounting data'!$J$2:$J$37003,"4*",'Accounting data'!$K$2:$K$37003,"66*")+SUMIFS('Accounting data'!$G$2:$G$37003,'Accounting data'!$H$2:$H$37003,"1500*",'Accounting data'!$I$2:$I$37003,"200*",'Accounting data'!$J$2:$J$37003,"4*",'Accounting data'!$K$2:$K$37003,"66*")+SUMIFS('Accounting data'!$G$2:$G$37003,'Accounting data'!$H$2:$H$37003,"1000*",'Accounting data'!$I$2:$I$37003,"270*",'Accounting data'!$J$2:$J$37003,"4*",'Accounting data'!$K$2:$K$37003,"66*")+SUMIFS('Accounting data'!$G$2:$G$37003,'Accounting data'!$H$2:$H$37003,"1500*",'Accounting data'!$I$2:$I$37003,"270*",'Accounting data'!$J$2:$J$37003,"4*",'Accounting data'!$K$2:$K$37003,"66*")</f>
        <v>0</v>
      </c>
      <c r="H35" s="592">
        <f>SUMIFS('Accounting data'!$G$2:$G$37003,'Accounting data'!$H$2:$H$37003,"1000*",'Accounting data'!$I$2:$I$37003,"200*",'Accounting data'!$J$2:$J$37003,"4*",'Accounting data'!$K$2:$K$37003,"68*")+SUMIFS('Accounting data'!$G$2:$G$37003,'Accounting data'!$H$2:$H$37003,"1500*",'Accounting data'!$I$2:$I$37003,"200*",'Accounting data'!$J$2:$J$37003,"4*",'Accounting data'!$K$2:$K$37003,"68*")+SUMIFS('Accounting data'!$G$2:$G$37003,'Accounting data'!$H$2:$H$37003,"1000*",'Accounting data'!$I$2:$I$37003,"270*",'Accounting data'!$J$2:$J$37003,"4*",'Accounting data'!$K$2:$K$37003,"68*")+SUMIFS('Accounting data'!$G$2:$G$37003,'Accounting data'!$H$2:$H$37003,"1500*",'Accounting data'!$I$2:$I$37003,"270*",'Accounting data'!$J$2:$J$37003,"4*",'Accounting data'!$K$2:$K$37003,"68*")</f>
        <v>0</v>
      </c>
      <c r="I35" s="591">
        <f>[3]!SP1000P200F4000</f>
        <v>0</v>
      </c>
      <c r="J35" s="593">
        <f t="shared" si="3"/>
        <v>0</v>
      </c>
      <c r="K35" s="591">
        <f>[1]!SP1000P200F4000</f>
        <v>0</v>
      </c>
      <c r="L35" s="594">
        <f t="shared" si="4"/>
        <v>0</v>
      </c>
      <c r="M35" s="66" t="s">
        <v>75</v>
      </c>
    </row>
    <row r="36" spans="1:13" ht="12" customHeight="1" x14ac:dyDescent="0.25">
      <c r="A36" s="89" t="s">
        <v>133</v>
      </c>
      <c r="C36" s="90" t="s">
        <v>77</v>
      </c>
      <c r="D36" s="592">
        <f>SUMIFS('Accounting data'!$G$2:$G$37003,'Accounting data'!$H$2:$H$37003,"1000*",'Accounting data'!$I$2:$I$37003,"200*",'Accounting data'!$J$2:$J$37003,"5*",'Accounting data'!$K$2:$K$37003,"61*")+SUMIFS('Accounting data'!$G$2:$G$37003,'Accounting data'!$H$2:$H$37003,"1500*",'Accounting data'!$I$2:$I$37003,"200*",'Accounting data'!$J$2:$J$37003,"5*",'Accounting data'!$K$2:$K$37003,"61*")+SUMIFS('Accounting data'!$G$2:$G$37003,'Accounting data'!$H$2:$H$37003,"1000*",'Accounting data'!$I$2:$I$37003,"270*",'Accounting data'!$J$2:$J$37003,"5*",'Accounting data'!$K$2:$K$37003,"61*")+SUMIFS('Accounting data'!$G$2:$G$37003,'Accounting data'!$H$2:$H$37003,"1500*",'Accounting data'!$I$2:$I$37003,"270*",'Accounting data'!$J$2:$J$37003,"5*",'Accounting data'!$K$2:$K$37003,"61*")</f>
        <v>0</v>
      </c>
      <c r="E36" s="592">
        <f>SUMIFS('Accounting data'!$G$2:$G$37003,'Accounting data'!$H$2:$H$37003,"1000*",'Accounting data'!$I$2:$I$37003,"200*",'Accounting data'!$J$2:$J$37003,"5*",'Accounting data'!$K$2:$K$37003,"62*")+SUMIFS('Accounting data'!$G$2:$G$37003,'Accounting data'!$H$2:$H$37003,"1500*",'Accounting data'!$I$2:$I$37003,"200*",'Accounting data'!$J$2:$J$37003,"5*",'Accounting data'!$K$2:$K$37003,"62*")+SUMIFS('Accounting data'!$G$2:$G$37003,'Accounting data'!$H$2:$H$37003,"1000*",'Accounting data'!$I$2:$I$37003,"270*",'Accounting data'!$J$2:$J$37003,"5*",'Accounting data'!$K$2:$K$37003,"62*")+SUMIFS('Accounting data'!$G$2:$G$37003,'Accounting data'!$H$2:$H$37003,"1500*",'Accounting data'!$I$2:$I$37003,"270*",'Accounting data'!$J$2:$J$37003,"5*",'Accounting data'!$K$2:$K$37003,"62*")</f>
        <v>0</v>
      </c>
      <c r="F36" s="592">
        <f>SUMIFS('Accounting data'!$G$2:$G$37003,'Accounting data'!$H$2:$H$37003,"1000*",'Accounting data'!$I$2:$I$37003,"200*",'Accounting data'!$J$2:$J$37003,"5*",'Accounting data'!$K$2:$K$37003,"63*")+SUMIFS('Accounting data'!$G$2:$G$37003,'Accounting data'!$H$2:$H$37003,"1500*",'Accounting data'!$I$2:$I$37003,"200*",'Accounting data'!$J$2:$J$37003,"5*",'Accounting data'!$K$2:$K$37003,"63*")+SUMIFS('Accounting data'!$G$2:$G$37003,'Accounting data'!$H$2:$H$37003,"1000*",'Accounting data'!$I$2:$I$37003,"270*",'Accounting data'!$J$2:$J$37003,"5*",'Accounting data'!$K$2:$K$37003,"63*")+SUMIFS('Accounting data'!$G$2:$G$37003,'Accounting data'!$H$2:$H$37003,"1500*",'Accounting data'!$I$2:$I$37003,"270*",'Accounting data'!$J$2:$J$37003,"5*",'Accounting data'!$K$2:$K$37003,"63*")</f>
        <v>0</v>
      </c>
      <c r="G36" s="592">
        <f>SUMIFS('Accounting data'!$G$2:$G$37003,'Accounting data'!$H$2:$H$37003,"1000*",'Accounting data'!$I$2:$I$37003,"200*",'Accounting data'!$J$2:$J$37003,"5*",'Accounting data'!$K$2:$K$37003,"66*")+SUMIFS('Accounting data'!$G$2:$G$37003,'Accounting data'!$H$2:$H$37003,"1500*",'Accounting data'!$I$2:$I$37003,"200*",'Accounting data'!$J$2:$J$37003,"5*",'Accounting data'!$K$2:$K$37003,"66*")+SUMIFS('Accounting data'!$G$2:$G$37003,'Accounting data'!$H$2:$H$37003,"1000*",'Accounting data'!$I$2:$I$37003,"270*",'Accounting data'!$J$2:$J$37003,"5*",'Accounting data'!$K$2:$K$37003,"66*")+SUMIFS('Accounting data'!$G$2:$G$37003,'Accounting data'!$H$2:$H$37003,"1500*",'Accounting data'!$I$2:$I$37003,"270*",'Accounting data'!$J$2:$J$37003,"5*",'Accounting data'!$K$2:$K$37003,"66*")</f>
        <v>0</v>
      </c>
      <c r="H36" s="592">
        <f>SUMIFS('Accounting data'!$G$2:$G$37003,'Accounting data'!$H$2:$H$37003,"1000*",'Accounting data'!$I$2:$I$37003,"200*",'Accounting data'!$J$2:$J$37003,"5*",'Accounting data'!$K$2:$K$37003,"68*")+SUMIFS('Accounting data'!$G$2:$G$37003,'Accounting data'!$H$2:$H$37003,"1500*",'Accounting data'!$I$2:$I$37003,"200*",'Accounting data'!$J$2:$J$37003,"5*",'Accounting data'!$K$2:$K$37003,"68*")+SUMIFS('Accounting data'!$G$2:$G$37003,'Accounting data'!$H$2:$H$37003,"1000*",'Accounting data'!$I$2:$I$37003,"270*",'Accounting data'!$J$2:$J$37003,"5*",'Accounting data'!$K$2:$K$37003,"68*")+SUMIFS('Accounting data'!$G$2:$G$37003,'Accounting data'!$H$2:$H$37003,"1500*",'Accounting data'!$I$2:$I$37003,"270*",'Accounting data'!$J$2:$J$37003,"5*",'Accounting data'!$K$2:$K$37003,"68*")</f>
        <v>0</v>
      </c>
      <c r="I36" s="591">
        <f>[3]!SP1000P200F5000</f>
        <v>0</v>
      </c>
      <c r="J36" s="593">
        <f t="shared" si="3"/>
        <v>0</v>
      </c>
      <c r="K36" s="591">
        <f>[1]!SP1000P200F5000</f>
        <v>0</v>
      </c>
      <c r="L36" s="594">
        <f t="shared" si="4"/>
        <v>0</v>
      </c>
      <c r="M36" s="66" t="s">
        <v>77</v>
      </c>
    </row>
    <row r="37" spans="1:13" ht="12" customHeight="1" x14ac:dyDescent="0.25">
      <c r="A37" s="93" t="s">
        <v>134</v>
      </c>
      <c r="B37" s="2"/>
      <c r="C37" s="96" t="s">
        <v>79</v>
      </c>
      <c r="D37" s="592">
        <f>SUM(D25:D36)</f>
        <v>0</v>
      </c>
      <c r="E37" s="592">
        <f t="shared" ref="E37:G37" si="5">SUM(E25:E36)</f>
        <v>0</v>
      </c>
      <c r="F37" s="592">
        <f t="shared" si="5"/>
        <v>1300</v>
      </c>
      <c r="G37" s="592">
        <f t="shared" si="5"/>
        <v>0</v>
      </c>
      <c r="H37" s="592">
        <f>SUM(H25:H36)</f>
        <v>0</v>
      </c>
      <c r="I37" s="592">
        <f>SUM(I25:I36)</f>
        <v>1361</v>
      </c>
      <c r="J37" s="592">
        <f>SUM(J25:J36)</f>
        <v>1300</v>
      </c>
      <c r="K37" s="592">
        <f>SUM(K25:K36)</f>
        <v>1274</v>
      </c>
      <c r="L37" s="97">
        <f t="shared" si="4"/>
        <v>2.0400000000000001E-2</v>
      </c>
      <c r="M37" s="98" t="s">
        <v>79</v>
      </c>
    </row>
    <row r="38" spans="1:13" ht="12" customHeight="1" x14ac:dyDescent="0.25">
      <c r="A38" s="99" t="s">
        <v>135</v>
      </c>
      <c r="B38" s="100"/>
      <c r="C38" s="96" t="s">
        <v>81</v>
      </c>
      <c r="D38" s="592">
        <f>SUMIFS('Accounting data'!$G$2:$G$37003,'Accounting data'!$H$2:$H$37003,"1000*",'Accounting data'!$I$2:$I$37003,"400*",'Accounting data'!$K$2:$K$37003,"61*")+SUMIFS('Accounting data'!$G$2:$G$37003,'Accounting data'!$H$2:$H$37003,"1500*",'Accounting data'!$I$2:$I$37003,"400*",'Accounting data'!$K$2:$K$37003,"61*")</f>
        <v>0</v>
      </c>
      <c r="E38" s="592">
        <f>SUMIFS('Accounting data'!$G$2:$G$37003,'Accounting data'!$H$2:$H$37003,"1000*",'Accounting data'!$I$2:$I$37003,"400*",'Accounting data'!$K$2:$K$37003,"62*")+SUMIFS('Accounting data'!$G$2:$G$37003,'Accounting data'!$H$2:$H$37003,"1500*",'Accounting data'!$I$2:$I$37003,"400*",'Accounting data'!$K$2:$K$37003,"62*")</f>
        <v>0</v>
      </c>
      <c r="F38" s="592">
        <f>SUMIFS('Accounting data'!$G$2:$G$37003,'Accounting data'!$H$2:$H$37003,"1000*",'Accounting data'!$I$2:$I$37003,"400*",'Accounting data'!$K$2:$K$37003,"63*")+SUMIFS('Accounting data'!$G$2:$G$37003,'Accounting data'!$H$2:$H$37003,"1500*",'Accounting data'!$I$2:$I$37003,"400*",'Accounting data'!$K$2:$K$37003,"63*")</f>
        <v>262</v>
      </c>
      <c r="G38" s="592">
        <f>SUMIFS('Accounting data'!$G$2:$G$37003,'Accounting data'!$H$2:$H$37003,"1000*",'Accounting data'!$I$2:$I$37003,"400*",'Accounting data'!$K$2:$K$37003,"66*")+SUMIFS('Accounting data'!$G$2:$G$37003,'Accounting data'!$H$2:$H$37003,"1500*",'Accounting data'!$I$2:$I$37003,"400*",'Accounting data'!$K$2:$K$37003,"66*")</f>
        <v>0</v>
      </c>
      <c r="H38" s="592">
        <f>SUMIFS('Accounting data'!$G$2:$G$37003,'Accounting data'!$H$2:$H$37003,"1000*",'Accounting data'!$I$2:$I$37003,"400*",'Accounting data'!$K$2:$K$37003,"68*")+SUMIFS('Accounting data'!$G$2:$G$37003,'Accounting data'!$H$2:$H$37003,"1500*",'Accounting data'!$I$2:$I$37003,"400*",'Accounting data'!$K$2:$K$37003,"68*")</f>
        <v>0</v>
      </c>
      <c r="I38" s="591">
        <f>[3]!SP1000P400</f>
        <v>0</v>
      </c>
      <c r="J38" s="593">
        <f>SUM(D38:H38)</f>
        <v>262</v>
      </c>
      <c r="K38" s="591">
        <f>[1]!SP1000P400</f>
        <v>0</v>
      </c>
      <c r="L38" s="594" t="str">
        <f t="shared" si="4"/>
        <v>--</v>
      </c>
      <c r="M38" s="98" t="s">
        <v>81</v>
      </c>
    </row>
    <row r="39" spans="1:13" ht="12" customHeight="1" x14ac:dyDescent="0.25">
      <c r="A39" s="99" t="s">
        <v>136</v>
      </c>
      <c r="B39" s="100"/>
      <c r="C39" s="101" t="s">
        <v>83</v>
      </c>
      <c r="D39" s="592">
        <f>SUMIFS('Accounting data'!$G$2:$G$37003,'Accounting data'!$H$2:$H$37003,"1000*",'Accounting data'!$I$2:$I$37003,"53*",'Accounting data'!$K$2:$K$37003,"61*")+SUMIFS('Accounting data'!$G$2:$G$37003,'Accounting data'!$H$2:$H$37003,"1500*",'Accounting data'!$I$2:$I$37003,"53*",'Accounting data'!$K$2:$K$37003,"61*")</f>
        <v>0</v>
      </c>
      <c r="E39" s="592">
        <f>SUMIFS('Accounting data'!$G$2:$G$37003,'Accounting data'!$H$2:$H$37003,"1000*",'Accounting data'!$I$2:$I$37003,"53*",'Accounting data'!$K$2:$K$37003,"62*")+SUMIFS('Accounting data'!$G$2:$G$37003,'Accounting data'!$H$2:$H$37003,"1000*",'Accounting data'!$I$2:$I$37003,"53*",'Accounting data'!$K$2:$K$37003,"62*")</f>
        <v>0</v>
      </c>
      <c r="F39" s="592">
        <f>SUMIFS('Accounting data'!$G$2:$G$37003,'Accounting data'!$H$2:$H$37003,"1000*",'Accounting data'!$I$2:$I$37003,"53*",'Accounting data'!$K$2:$K$37003,"63*")+SUMIFS('Accounting data'!$G$2:$G$37003,'Accounting data'!$H$2:$H$37003,"1500*",'Accounting data'!$I$2:$I$37003,"53*",'Accounting data'!$K$2:$K$37003,"63*")</f>
        <v>0</v>
      </c>
      <c r="G39" s="592">
        <f>SUMIFS('Accounting data'!$G$2:$G$37003,'Accounting data'!$H$2:$H$37003,"1000*",'Accounting data'!$I$2:$I$37003,"53*",'Accounting data'!$K$2:$K$37003,"66*")+SUMIFS('Accounting data'!$G$2:$G$37003,'Accounting data'!$H$2:$H$37003,"1500*",'Accounting data'!$I$2:$I$37003,"53*",'Accounting data'!$K$2:$K$37003,"66*")</f>
        <v>0</v>
      </c>
      <c r="H39" s="592">
        <f>SUMIFS('Accounting data'!$G$2:$G$37003,'Accounting data'!$H$2:$H$37003,"1000*",'Accounting data'!$I$2:$I$37003,"53*",'Accounting data'!$K$2:$K$37003,"68*")+SUMIFS('Accounting data'!$G$2:$G$37003,'Accounting data'!$H$2:$H$37003,"1500*",'Accounting data'!$I$2:$I$37003,"53*",'Accounting data'!$K$2:$K$37003,"68*")</f>
        <v>0</v>
      </c>
      <c r="I39" s="591">
        <f>[3]!SP1000P530</f>
        <v>0</v>
      </c>
      <c r="J39" s="593">
        <f>SUM(D39:H39)</f>
        <v>0</v>
      </c>
      <c r="K39" s="591">
        <f>[1]!SP1000P530</f>
        <v>0</v>
      </c>
      <c r="L39" s="594">
        <f t="shared" si="4"/>
        <v>0</v>
      </c>
      <c r="M39" s="98" t="s">
        <v>83</v>
      </c>
    </row>
    <row r="40" spans="1:13" ht="12" customHeight="1" x14ac:dyDescent="0.25">
      <c r="A40" s="99" t="s">
        <v>137</v>
      </c>
      <c r="B40" s="100"/>
      <c r="C40" s="101" t="s">
        <v>85</v>
      </c>
      <c r="D40" s="592">
        <f>SUMIFS('Accounting data'!$G$2:$G$37003,'Accounting data'!$H$2:$H$37003,"1000*",'Accounting data'!$I$2:$I$37003,"54*",'Accounting data'!$K$2:$K$37003,"61*")+SUMIFS('Accounting data'!$G$2:$G$37003,'Accounting data'!$H$2:$H$37003,"1500*",'Accounting data'!$I$2:$I$37003,"54*",'Accounting data'!$K$2:$K$37003,"61*")</f>
        <v>0</v>
      </c>
      <c r="E40" s="592">
        <f>SUMIFS('Accounting data'!$G$2:$G$37003,'Accounting data'!$H$2:$H$37003,"1000*",'Accounting data'!$I$2:$I$37003,"54*",'Accounting data'!$K$2:$K$37003,"62*")+SUMIFS('Accounting data'!$G$2:$G$37003,'Accounting data'!$H$2:$H$37003,"1500*",'Accounting data'!$I$2:$I$37003,"54*",'Accounting data'!$K$2:$K$37003,"62*")</f>
        <v>0</v>
      </c>
      <c r="F40" s="592">
        <f>SUMIFS('Accounting data'!$G$2:$G$37003,'Accounting data'!$H$2:$H$37003,"1000*",'Accounting data'!$I$2:$I$37003,"54*",'Accounting data'!$K$2:$K$37003,"63*")+SUMIFS('Accounting data'!$G$2:$G$37003,'Accounting data'!$H$2:$H$37003,"1500*",'Accounting data'!$I$2:$I$37003,"54*",'Accounting data'!$K$2:$K$37003,"63*")</f>
        <v>0</v>
      </c>
      <c r="G40" s="592">
        <f>SUMIFS('Accounting data'!$G$2:$G$37003,'Accounting data'!$H$2:$H$37003,"1000*",'Accounting data'!$I$2:$I$37003,"54*",'Accounting data'!$K$2:$K$37003,"66*")+SUMIFS('Accounting data'!$G$2:$G$37003,'Accounting data'!$H$2:$H$37003,"1500*",'Accounting data'!$I$2:$I$37003,"54*",'Accounting data'!$K$2:$K$37003,"66*")</f>
        <v>0</v>
      </c>
      <c r="H40" s="592">
        <f>SUMIFS('Accounting data'!$G$2:$G$37003,'Accounting data'!$H$2:$H$37003,"1000*",'Accounting data'!$I$2:$I$37003,"54*",'Accounting data'!$K$2:$K$37003,"68*")+SUMIFS('Accounting data'!$G$2:$G$37003,'Accounting data'!$H$2:$H$37003,"1500*",'Accounting data'!$I$2:$I$37003,"54*",'Accounting data'!$K$2:$K$37003,"68*")</f>
        <v>0</v>
      </c>
      <c r="I40" s="591">
        <f>[3]!SP1000P540</f>
        <v>0</v>
      </c>
      <c r="J40" s="593">
        <f>SUM(D40:H40)</f>
        <v>0</v>
      </c>
      <c r="K40" s="591">
        <f>[1]!SP1000P540</f>
        <v>0</v>
      </c>
      <c r="L40" s="594">
        <f t="shared" si="4"/>
        <v>0</v>
      </c>
      <c r="M40" s="98" t="s">
        <v>85</v>
      </c>
    </row>
    <row r="41" spans="1:13" ht="12" customHeight="1" x14ac:dyDescent="0.25">
      <c r="A41" s="99" t="s">
        <v>138</v>
      </c>
      <c r="B41" s="100"/>
      <c r="C41" s="101" t="s">
        <v>86</v>
      </c>
      <c r="D41" s="592">
        <f>SUMIFS('Accounting data'!$G$2:$G$37003,'Accounting data'!$H$2:$H$37003,"1000*",'Accounting data'!$I$2:$I$37003,"55*",'Accounting data'!$K$2:$K$37003,"61*")+SUMIFS('Accounting data'!$G$2:$G$37003,'Accounting data'!$H$2:$H$37003,"1500*",'Accounting data'!$I$2:$I$37003,"55*",'Accounting data'!$K$2:$K$37003,"61*")</f>
        <v>0</v>
      </c>
      <c r="E41" s="592">
        <f>SUMIFS('Accounting data'!$G$2:$G$37003,'Accounting data'!$H$2:$H$37003,"1000*",'Accounting data'!$I$2:$I$37003,"55*",'Accounting data'!$K$2:$K$37003,"62*")+SUMIFS('Accounting data'!$G$2:$G$37003,'Accounting data'!$H$2:$H$37003,"1500*",'Accounting data'!$I$2:$I$37003,"55*",'Accounting data'!$K$2:$K$37003,"62*")</f>
        <v>0</v>
      </c>
      <c r="F41" s="592">
        <f>SUMIFS('Accounting data'!$G$2:$G$37003,'Accounting data'!$H$2:$H$37003,"1000*",'Accounting data'!$I$2:$I$37003,"55*",'Accounting data'!$K$2:$K$37003,"63*")+SUMIFS('Accounting data'!$G$2:$G$37003,'Accounting data'!$H$2:$H$37003,"1500*",'Accounting data'!$I$2:$I$37003,"55*",'Accounting data'!$K$2:$K$37003,"63*")</f>
        <v>0</v>
      </c>
      <c r="G41" s="592">
        <f>SUMIFS('Accounting data'!$G$2:$G$37003,'Accounting data'!$H$2:$H$37003,"1000*",'Accounting data'!$I$2:$I$37003,"55*",'Accounting data'!$K$2:$K$37003,"66*")+SUMIFS('Accounting data'!$G$2:$G$37003,'Accounting data'!$H$2:$H$37003,"1500*",'Accounting data'!$I$2:$I$37003,"55*",'Accounting data'!$K$2:$K$37003,"66*")</f>
        <v>0</v>
      </c>
      <c r="H41" s="592">
        <f>SUMIFS('Accounting data'!$G$2:$G$37003,'Accounting data'!$H$2:$H$37003,"1000*",'Accounting data'!$I$2:$I$37003,"55*",'Accounting data'!$K$2:$K$37003,"68*")+SUMIFS('Accounting data'!$G$2:$G$37003,'Accounting data'!$H$2:$H$37003,"1500*",'Accounting data'!$I$2:$I$37003,"55*",'Accounting data'!$K$2:$K$37003,"68*")</f>
        <v>0</v>
      </c>
      <c r="I41" s="591">
        <f>[3]!SP1000P550</f>
        <v>0</v>
      </c>
      <c r="J41" s="593">
        <f>SUM(D41:H41)</f>
        <v>0</v>
      </c>
      <c r="K41" s="591">
        <f>[1]!SP1000P550</f>
        <v>0</v>
      </c>
      <c r="L41" s="594">
        <f t="shared" si="4"/>
        <v>0</v>
      </c>
      <c r="M41" s="98" t="s">
        <v>86</v>
      </c>
    </row>
    <row r="42" spans="1:13" ht="12" customHeight="1" x14ac:dyDescent="0.25">
      <c r="A42" s="99" t="s">
        <v>139</v>
      </c>
      <c r="B42" s="100"/>
      <c r="C42" s="101" t="s">
        <v>140</v>
      </c>
      <c r="D42" s="592">
        <f t="shared" ref="D42:I42" si="6">SUM(D38:D41)+D37+D23</f>
        <v>200</v>
      </c>
      <c r="E42" s="592">
        <f t="shared" si="6"/>
        <v>7198</v>
      </c>
      <c r="F42" s="592">
        <f t="shared" si="6"/>
        <v>9705</v>
      </c>
      <c r="G42" s="592">
        <f t="shared" si="6"/>
        <v>5848</v>
      </c>
      <c r="H42" s="592">
        <f t="shared" si="6"/>
        <v>1200</v>
      </c>
      <c r="I42" s="591">
        <f t="shared" si="6"/>
        <v>67084</v>
      </c>
      <c r="J42" s="593">
        <f>SUM(J37:J41)+J23</f>
        <v>24151</v>
      </c>
      <c r="K42" s="593">
        <f>SUM(K23)+SUM(K37:K41)</f>
        <v>13334</v>
      </c>
      <c r="L42" s="594">
        <f t="shared" si="4"/>
        <v>0.81120000000000003</v>
      </c>
      <c r="M42" s="98" t="s">
        <v>140</v>
      </c>
    </row>
    <row r="43" spans="1:13" ht="12" customHeight="1" x14ac:dyDescent="0.25">
      <c r="A43" s="99" t="s">
        <v>1184</v>
      </c>
      <c r="B43" s="100"/>
      <c r="C43" s="101" t="s">
        <v>141</v>
      </c>
      <c r="D43" s="592">
        <f>'Page 3'!F13</f>
        <v>29123</v>
      </c>
      <c r="E43" s="592">
        <f>'Page 3'!G13</f>
        <v>3673</v>
      </c>
      <c r="F43" s="592">
        <f>'Page 3'!H13</f>
        <v>0</v>
      </c>
      <c r="G43" s="592">
        <f>'Page 3'!I13</f>
        <v>0</v>
      </c>
      <c r="H43" s="683">
        <f>'Page 3'!G18</f>
        <v>0</v>
      </c>
      <c r="I43" s="591">
        <f>[3]!SP1000ClassSiteProj</f>
        <v>15362</v>
      </c>
      <c r="J43" s="593">
        <f>SUM(D43:H43)</f>
        <v>32796</v>
      </c>
      <c r="K43" s="591">
        <f>[1]!SP1000ClassSiteProj</f>
        <v>14807</v>
      </c>
      <c r="L43" s="594">
        <f t="shared" si="4"/>
        <v>1.2149000000000001</v>
      </c>
      <c r="M43" s="98" t="s">
        <v>141</v>
      </c>
    </row>
    <row r="44" spans="1:13" ht="12" customHeight="1" x14ac:dyDescent="0.25">
      <c r="A44" s="99" t="s">
        <v>142</v>
      </c>
      <c r="B44" s="100"/>
      <c r="C44" s="101" t="s">
        <v>143</v>
      </c>
      <c r="D44" s="102"/>
      <c r="E44" s="102"/>
      <c r="F44" s="102"/>
      <c r="G44" s="102"/>
      <c r="H44" s="102"/>
      <c r="I44" s="591">
        <f>[3]!SP1000InstrImpProj</f>
        <v>520</v>
      </c>
      <c r="J44" s="593">
        <f>SUMIFS('Accounting data'!$G$2:$G$37003,'Accounting data'!$H$2:$H$37003,"1020*",'Accounting data'!$K$2:$K$37003,"6*")</f>
        <v>1255</v>
      </c>
      <c r="K44" s="591">
        <f>[1]!SP1000InstrImpProj</f>
        <v>1204</v>
      </c>
      <c r="L44" s="594">
        <f t="shared" si="4"/>
        <v>4.24E-2</v>
      </c>
      <c r="M44" s="98" t="s">
        <v>143</v>
      </c>
    </row>
    <row r="45" spans="1:13" ht="12" customHeight="1" x14ac:dyDescent="0.25">
      <c r="A45" s="99" t="s">
        <v>144</v>
      </c>
      <c r="B45" s="100"/>
      <c r="C45" s="101" t="s">
        <v>145</v>
      </c>
      <c r="D45" s="592">
        <f>TotalSEIP6100</f>
        <v>0</v>
      </c>
      <c r="E45" s="592">
        <f>TotalSEIP6200</f>
        <v>0</v>
      </c>
      <c r="F45" s="592">
        <f>TotalSEIP630064006500</f>
        <v>0</v>
      </c>
      <c r="G45" s="592">
        <f>TotalSEIP6600</f>
        <v>0</v>
      </c>
      <c r="H45" s="592">
        <f>TotalSEIP6800</f>
        <v>0</v>
      </c>
      <c r="I45" s="591">
        <f>[3]!SP1000StruEngImmProj</f>
        <v>0</v>
      </c>
      <c r="J45" s="593">
        <f>SUM(D45:H45)</f>
        <v>0</v>
      </c>
      <c r="K45" s="591">
        <f>[1]!SP1000StruEngImmProj</f>
        <v>0</v>
      </c>
      <c r="L45" s="594">
        <f t="shared" si="4"/>
        <v>0</v>
      </c>
      <c r="M45" s="98" t="s">
        <v>145</v>
      </c>
    </row>
    <row r="46" spans="1:13" ht="12" customHeight="1" x14ac:dyDescent="0.25">
      <c r="A46" s="99" t="s">
        <v>146</v>
      </c>
      <c r="B46" s="100"/>
      <c r="C46" s="101" t="s">
        <v>147</v>
      </c>
      <c r="D46" s="592">
        <f>TotalCIP6100</f>
        <v>0</v>
      </c>
      <c r="E46" s="592">
        <f>TotalCIP6200</f>
        <v>0</v>
      </c>
      <c r="F46" s="592">
        <f>TotalCIP630064006500</f>
        <v>0</v>
      </c>
      <c r="G46" s="592">
        <f>TotalCIP6600</f>
        <v>0</v>
      </c>
      <c r="H46" s="592">
        <f>TotalCIP6800</f>
        <v>0</v>
      </c>
      <c r="I46" s="591">
        <f>[3]!SP1000CompInstrProj</f>
        <v>0</v>
      </c>
      <c r="J46" s="593">
        <f>SUM(D46:H46)</f>
        <v>0</v>
      </c>
      <c r="K46" s="591">
        <f>[1]!SP1000CompInstrProj</f>
        <v>0</v>
      </c>
      <c r="L46" s="594">
        <f t="shared" si="4"/>
        <v>0</v>
      </c>
      <c r="M46" s="98" t="s">
        <v>147</v>
      </c>
    </row>
    <row r="47" spans="1:13" ht="12" customHeight="1" x14ac:dyDescent="0.25">
      <c r="A47" s="217" t="s">
        <v>1185</v>
      </c>
      <c r="B47" s="103"/>
      <c r="C47" s="101" t="s">
        <v>148</v>
      </c>
      <c r="D47" s="104"/>
      <c r="E47" s="104"/>
      <c r="F47" s="104"/>
      <c r="G47" s="104"/>
      <c r="H47" s="104"/>
      <c r="I47" s="591">
        <f>[3]!SP1000FedStProj</f>
        <v>1643</v>
      </c>
      <c r="J47" s="593">
        <f>ActualTotalFederalAndStateProjects</f>
        <v>3693</v>
      </c>
      <c r="K47" s="591">
        <f>[1]!SP1000FedStProj</f>
        <v>90568</v>
      </c>
      <c r="L47" s="594">
        <f t="shared" si="4"/>
        <v>-0.95920000000000005</v>
      </c>
      <c r="M47" s="98" t="s">
        <v>148</v>
      </c>
    </row>
    <row r="48" spans="1:13" ht="12" customHeight="1" x14ac:dyDescent="0.25">
      <c r="A48" s="99" t="s">
        <v>149</v>
      </c>
      <c r="B48" s="100"/>
      <c r="C48" s="101" t="s">
        <v>150</v>
      </c>
      <c r="D48" s="104"/>
      <c r="E48" s="104"/>
      <c r="F48" s="104"/>
      <c r="G48" s="104"/>
      <c r="H48" s="104"/>
      <c r="I48" s="593">
        <f>SUM(I42:I47)</f>
        <v>84609</v>
      </c>
      <c r="J48" s="593">
        <f>SUM(J42:J47)</f>
        <v>61895</v>
      </c>
      <c r="K48" s="593">
        <f>SUM(K42:K47)</f>
        <v>119913</v>
      </c>
      <c r="L48" s="594">
        <f t="shared" si="4"/>
        <v>-0.48380000000000001</v>
      </c>
      <c r="M48" s="98" t="s">
        <v>150</v>
      </c>
    </row>
  </sheetData>
  <sheetProtection formatCells="0" formatColumns="0" formatRows="0"/>
  <mergeCells count="11">
    <mergeCell ref="L26:L27"/>
    <mergeCell ref="L24:L25"/>
    <mergeCell ref="L21:L22"/>
    <mergeCell ref="B1:C1"/>
    <mergeCell ref="L3:L5"/>
    <mergeCell ref="I3:K3"/>
    <mergeCell ref="I21:I22"/>
    <mergeCell ref="N10:AF10"/>
    <mergeCell ref="N9:AF9"/>
    <mergeCell ref="L6:L7"/>
    <mergeCell ref="L8:L9"/>
  </mergeCells>
  <conditionalFormatting sqref="J10">
    <cfRule type="expression" dxfId="71" priority="1" stopIfTrue="1">
      <formula>$N$10&lt;&gt;""</formula>
    </cfRule>
  </conditionalFormatting>
  <conditionalFormatting sqref="N9:AF9">
    <cfRule type="expression" dxfId="70" priority="11" stopIfTrue="1">
      <formula>$N$9&lt;&gt;""</formula>
    </cfRule>
  </conditionalFormatting>
  <conditionalFormatting sqref="N10:AF10">
    <cfRule type="expression" dxfId="69" priority="10" stopIfTrue="1">
      <formula>$N$10&lt;&gt;""</formula>
    </cfRule>
  </conditionalFormatting>
  <hyperlinks>
    <hyperlink ref="A4" location="ExpensesPage2" display="Expenses" xr:uid="{00000000-0004-0000-0200-000000000000}"/>
    <hyperlink ref="A47:B47" location="FederalAndStateProjectsPage2" display="Federal and State Projects (from page 9, line 30)" xr:uid="{00000000-0004-0000-0200-000001000000}"/>
  </hyperlinks>
  <pageMargins left="0.75" right="0.25" top="0.25" bottom="0.25" header="0.5" footer="0.15"/>
  <pageSetup paperSize="5" orientation="landscape" r:id="rId1"/>
  <headerFooter>
    <oddFooter>&amp;LRev. 8/24 Arizona Department of Education and Auditor General&amp;CFY 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0"/>
  <sheetViews>
    <sheetView showGridLines="0" zoomScaleNormal="100" workbookViewId="0">
      <selection activeCell="F30" sqref="F30"/>
    </sheetView>
  </sheetViews>
  <sheetFormatPr defaultColWidth="9.33203125" defaultRowHeight="13.2" x14ac:dyDescent="0.25"/>
  <cols>
    <col min="1" max="1" width="1.77734375" customWidth="1"/>
    <col min="2" max="2" width="2" customWidth="1"/>
    <col min="3" max="3" width="21" customWidth="1"/>
    <col min="4" max="4" width="33.33203125" customWidth="1"/>
    <col min="5" max="5" width="4.33203125" customWidth="1"/>
    <col min="6" max="6" width="19.77734375" customWidth="1"/>
    <col min="7" max="12" width="16" customWidth="1"/>
    <col min="13" max="13" width="79.6640625" customWidth="1"/>
    <col min="15" max="15" width="8.77734375" customWidth="1"/>
  </cols>
  <sheetData>
    <row r="1" spans="1:13" x14ac:dyDescent="0.25">
      <c r="A1" s="590" t="s">
        <v>0</v>
      </c>
      <c r="D1" s="611" t="str">
        <f>'Cover Page'!D1</f>
        <v>AIBT Non-Profit Charter High School</v>
      </c>
      <c r="E1" s="612"/>
      <c r="F1" s="61" t="s">
        <v>151</v>
      </c>
      <c r="G1" s="611" t="str">
        <f>'Cover Page'!M1</f>
        <v>Maricopa</v>
      </c>
      <c r="H1" s="608"/>
      <c r="I1" s="61" t="s">
        <v>2</v>
      </c>
      <c r="J1" s="610" t="str">
        <f>'Cover Page'!R1</f>
        <v>078286000</v>
      </c>
    </row>
    <row r="4" spans="1:13" x14ac:dyDescent="0.25">
      <c r="A4" s="76"/>
      <c r="B4" s="113"/>
      <c r="C4" s="114"/>
      <c r="D4" s="114"/>
      <c r="E4" s="115"/>
      <c r="F4" s="74"/>
      <c r="G4" s="615" t="s">
        <v>152</v>
      </c>
      <c r="H4" s="615" t="s">
        <v>153</v>
      </c>
      <c r="I4" s="83"/>
      <c r="J4" s="738" t="s">
        <v>90</v>
      </c>
      <c r="K4" s="739"/>
      <c r="L4" s="116"/>
    </row>
    <row r="5" spans="1:13" x14ac:dyDescent="0.25">
      <c r="A5" s="117" t="s">
        <v>92</v>
      </c>
      <c r="C5" s="118"/>
      <c r="D5" s="118"/>
      <c r="E5" s="119"/>
      <c r="F5" s="81" t="s">
        <v>93</v>
      </c>
      <c r="G5" s="79" t="s">
        <v>94</v>
      </c>
      <c r="H5" s="81" t="s">
        <v>95</v>
      </c>
      <c r="I5" s="120" t="s">
        <v>96</v>
      </c>
      <c r="J5" s="81"/>
      <c r="K5" s="81"/>
      <c r="L5" s="121"/>
    </row>
    <row r="6" spans="1:13" x14ac:dyDescent="0.25">
      <c r="A6" s="93"/>
      <c r="B6" s="2"/>
      <c r="C6" s="122"/>
      <c r="D6" s="122"/>
      <c r="E6" s="123"/>
      <c r="F6" s="86">
        <v>6100</v>
      </c>
      <c r="G6" s="620">
        <v>6200</v>
      </c>
      <c r="H6" s="86" t="s">
        <v>100</v>
      </c>
      <c r="I6" s="86">
        <v>6600</v>
      </c>
      <c r="J6" s="86" t="s">
        <v>101</v>
      </c>
      <c r="K6" s="86" t="s">
        <v>23</v>
      </c>
      <c r="L6" s="121"/>
    </row>
    <row r="7" spans="1:13" x14ac:dyDescent="0.25">
      <c r="A7" s="600" t="s">
        <v>154</v>
      </c>
      <c r="B7" s="601"/>
      <c r="C7" s="601"/>
      <c r="D7" s="601"/>
      <c r="E7" s="124"/>
      <c r="F7" s="83"/>
      <c r="G7" s="83"/>
      <c r="H7" s="83"/>
      <c r="I7" s="83"/>
      <c r="J7" s="83"/>
      <c r="K7" s="83"/>
      <c r="L7" s="89"/>
    </row>
    <row r="8" spans="1:13" x14ac:dyDescent="0.25">
      <c r="A8" s="125"/>
      <c r="B8" s="118"/>
      <c r="C8" t="s">
        <v>155</v>
      </c>
      <c r="D8" s="118"/>
      <c r="E8" s="126" t="s">
        <v>24</v>
      </c>
      <c r="F8" s="598">
        <f>SUMIFS('Accounting data'!$G$2:$G$37003,'Accounting data'!$H$2:$H$37003,"1010*",'Accounting data'!$J$2:$J$37003,"1*",'Accounting data'!$K$2:$K$37003,"61*")</f>
        <v>29123</v>
      </c>
      <c r="G8" s="598">
        <f>SUMIFS('Accounting data'!$G$2:$G$37003,'Accounting data'!$H$2:$H$37003,"1010*",'Accounting data'!$J$2:$J$37003,"1*",'Accounting data'!$K$2:$K$37003,"62*")</f>
        <v>3673</v>
      </c>
      <c r="H8" s="598">
        <f>SUMIFS('Accounting data'!$G$2:$G$37003,'Accounting data'!$H$2:$H$37003,"1010*",'Accounting data'!$J$2:$J$37003,"1*",'Accounting data'!$K$2:$K$37003,"63*")</f>
        <v>0</v>
      </c>
      <c r="I8" s="598">
        <f>SUMIFS('Accounting data'!$G$2:$G$37003,'Accounting data'!$H$2:$H$37003,"1010*",'Accounting data'!$J$2:$J$37003,"1*",'Accounting data'!$K$2:$K$37003,"66*")</f>
        <v>0</v>
      </c>
      <c r="J8" s="597">
        <f t="array" ref="J8">[3]!_CSP1000</f>
        <v>15362</v>
      </c>
      <c r="K8" s="598">
        <f>SUM(F8:I8)</f>
        <v>32796</v>
      </c>
      <c r="L8" s="89"/>
    </row>
    <row r="9" spans="1:13" x14ac:dyDescent="0.25">
      <c r="A9" s="125"/>
      <c r="B9" s="118"/>
      <c r="C9" t="s">
        <v>156</v>
      </c>
      <c r="D9" s="118"/>
      <c r="E9" s="126" t="s">
        <v>26</v>
      </c>
      <c r="F9" s="593">
        <f>SUMIFS('Accounting data'!$G$2:$G$37003,'Accounting data'!$H$2:$H$37003,"1010*",'Accounting data'!$J$2:$J$37003,"21*",'Accounting data'!$K$2:$K$37003,"61*")</f>
        <v>0</v>
      </c>
      <c r="G9" s="593">
        <f>SUMIFS('Accounting data'!$G$2:$G$37003,'Accounting data'!$H$2:$H$37003,"1010*",'Accounting data'!$J$2:$J$37003,"21*",'Accounting data'!$K$2:$K$37003,"62*")</f>
        <v>0</v>
      </c>
      <c r="H9" s="593">
        <f>SUMIFS('Accounting data'!$G$2:$G$37003,'Accounting data'!$H$2:$H$37003,"1010*",'Accounting data'!$J$2:$J$37003,"21*",'Accounting data'!$K$2:$K$37003,"63*")</f>
        <v>0</v>
      </c>
      <c r="I9" s="593">
        <f>SUMIFS('Accounting data'!$G$2:$G$37003,'Accounting data'!$H$2:$H$37003,"1010*",'Accounting data'!$J$2:$J$37003,"21*",'Accounting data'!$K$2:$K$37003,"66*")</f>
        <v>0</v>
      </c>
      <c r="J9" s="591">
        <f t="array" ref="J9">[3]!_CSP2100</f>
        <v>0</v>
      </c>
      <c r="K9" s="593">
        <f t="shared" ref="K9:K13" si="0">SUM(F9:I9)</f>
        <v>0</v>
      </c>
      <c r="L9" s="89"/>
    </row>
    <row r="10" spans="1:13" x14ac:dyDescent="0.25">
      <c r="A10" s="125"/>
      <c r="B10" s="118"/>
      <c r="C10" t="s">
        <v>157</v>
      </c>
      <c r="D10" s="118"/>
      <c r="E10" s="126" t="s">
        <v>28</v>
      </c>
      <c r="F10" s="593">
        <f>SUMIFS('Accounting data'!$G$2:$G$37003,'Accounting data'!$H$2:$H$37003,"1010*",'Accounting data'!$J$2:$J$37003,"22*",'Accounting data'!$K$2:$K$37003,"61*")</f>
        <v>0</v>
      </c>
      <c r="G10" s="593">
        <f>SUMIFS('Accounting data'!$G$2:$G$37003,'Accounting data'!$H$2:$H$37003,"1010*",'Accounting data'!$J$2:$J$37003,"22*",'Accounting data'!$K$2:$K$37003,"62*")</f>
        <v>0</v>
      </c>
      <c r="H10" s="593">
        <f>SUMIFS('Accounting data'!$G$2:$G$37003,'Accounting data'!$H$2:$H$37003,"1010*",'Accounting data'!$J$2:$J$37003,"22*",'Accounting data'!$K$2:$K$37003,"63*")</f>
        <v>0</v>
      </c>
      <c r="I10" s="593">
        <f>SUMIFS('Accounting data'!$G$2:$G$37003,'Accounting data'!$H$2:$H$37003,"1010*",'Accounting data'!$J$2:$J$37003,"22*",'Accounting data'!$K$2:$K$37003,"66*")</f>
        <v>0</v>
      </c>
      <c r="J10" s="591">
        <f t="array" ref="J10">[3]!_CSP2200</f>
        <v>0</v>
      </c>
      <c r="K10" s="593">
        <f t="shared" si="0"/>
        <v>0</v>
      </c>
      <c r="L10" s="89"/>
    </row>
    <row r="11" spans="1:13" x14ac:dyDescent="0.25">
      <c r="A11" s="125"/>
      <c r="B11" s="118"/>
      <c r="C11" s="217" t="s">
        <v>158</v>
      </c>
      <c r="D11" s="127"/>
      <c r="E11" s="126" t="s">
        <v>31</v>
      </c>
      <c r="F11" s="104"/>
      <c r="G11" s="104"/>
      <c r="H11" s="593">
        <f>SUMIFS('Accounting data'!$G$2:$G$37003,'Accounting data'!$H$2:$H$37003,"1010*",'Accounting data'!$J$2:$J$37003,"23*",'Accounting data'!$K$2:$K$37003,"63*")</f>
        <v>0</v>
      </c>
      <c r="I11" s="104"/>
      <c r="J11" s="591">
        <f t="array" ref="J11">[3]!_CSP2300</f>
        <v>0</v>
      </c>
      <c r="K11" s="593">
        <f t="shared" si="0"/>
        <v>0</v>
      </c>
      <c r="L11" s="89"/>
    </row>
    <row r="12" spans="1:13" ht="12.75" customHeight="1" x14ac:dyDescent="0.25">
      <c r="A12" s="128"/>
      <c r="B12" s="122"/>
      <c r="C12" s="217" t="s">
        <v>159</v>
      </c>
      <c r="D12" s="129"/>
      <c r="E12" s="130" t="s">
        <v>33</v>
      </c>
      <c r="F12" s="593">
        <f>SUMIFS('Accounting data'!$G$2:$G$37003,'Accounting data'!$H$2:$H$37003,"1010*",'Accounting data'!$J$2:$J$37003,"33*",'Accounting data'!$K$2:$K$37003,"61*")</f>
        <v>0</v>
      </c>
      <c r="G12" s="593">
        <f>SUMIFS('Accounting data'!$G$2:$G$37003,'Accounting data'!$H$2:$H$37003,"1010*",'Accounting data'!$J$2:$J$37003,"33*",'Accounting data'!$K$2:$K$37003,"62*")</f>
        <v>0</v>
      </c>
      <c r="H12" s="593">
        <f>SUMIFS('Accounting data'!$G$2:$G$37003,'Accounting data'!$H$2:$H$37003,"1010*",'Accounting data'!$J$2:$J$37003,"33*",'Accounting data'!$K$2:$K$37003,"63*")</f>
        <v>0</v>
      </c>
      <c r="I12" s="104"/>
      <c r="J12" s="591">
        <f t="array" ref="J12">[3]!_CSP3300</f>
        <v>0</v>
      </c>
      <c r="K12" s="593">
        <f t="shared" si="0"/>
        <v>0</v>
      </c>
      <c r="L12" s="89"/>
      <c r="M12" s="740" t="str">
        <f>IF('Page 2'!J48=0,"",IF(OR(K13&lt;=0),"The Charter did not report any expenses for Classroom Site Project. If the Charter did not have any expense, verify by checking the box in A14 on the Cover Page.",""))</f>
        <v/>
      </c>
    </row>
    <row r="13" spans="1:13" ht="12" customHeight="1" x14ac:dyDescent="0.25">
      <c r="A13" s="93" t="s">
        <v>160</v>
      </c>
      <c r="B13" s="122"/>
      <c r="C13" s="2"/>
      <c r="D13" s="122"/>
      <c r="E13" s="130" t="s">
        <v>35</v>
      </c>
      <c r="F13" s="593">
        <f>SUM(F8:F12)</f>
        <v>29123</v>
      </c>
      <c r="G13" s="593">
        <f>SUM(G8:G12)</f>
        <v>3673</v>
      </c>
      <c r="H13" s="593">
        <f>SUM(H8:H12)</f>
        <v>0</v>
      </c>
      <c r="I13" s="593">
        <f>SUM(I8:I12)</f>
        <v>0</v>
      </c>
      <c r="J13" s="593">
        <f>SUM(J8:J12)</f>
        <v>15362</v>
      </c>
      <c r="K13" s="593">
        <f t="shared" si="0"/>
        <v>32796</v>
      </c>
      <c r="L13" s="89"/>
      <c r="M13" s="740"/>
    </row>
    <row r="16" spans="1:13" ht="16.5" customHeight="1" x14ac:dyDescent="0.25">
      <c r="A16" s="600" t="s">
        <v>161</v>
      </c>
      <c r="B16" s="600"/>
      <c r="C16" s="601"/>
      <c r="D16" s="600"/>
      <c r="E16" s="131"/>
      <c r="F16" s="132" t="s">
        <v>101</v>
      </c>
      <c r="G16" s="626" t="s">
        <v>23</v>
      </c>
    </row>
    <row r="17" spans="1:27" x14ac:dyDescent="0.25">
      <c r="A17" s="71"/>
      <c r="B17" s="133"/>
      <c r="C17" s="72" t="s">
        <v>162</v>
      </c>
      <c r="D17" s="133"/>
      <c r="E17" s="134" t="s">
        <v>37</v>
      </c>
      <c r="F17" s="593">
        <f>'[3]Page 3'!$F$17</f>
        <v>0</v>
      </c>
      <c r="G17" s="105">
        <v>0</v>
      </c>
    </row>
    <row r="18" spans="1:27" ht="14.4" x14ac:dyDescent="0.25">
      <c r="A18" s="89"/>
      <c r="B18" s="589"/>
      <c r="C18" t="s">
        <v>163</v>
      </c>
      <c r="D18" s="589"/>
      <c r="E18" s="65" t="s">
        <v>39</v>
      </c>
      <c r="F18" s="593">
        <f>'[3]Page 3'!$F$18</f>
        <v>0</v>
      </c>
      <c r="G18" s="592">
        <f>SUMIFS('Accounting data'!$G$2:$G$37003,'Accounting data'!$H$2:$H$37003,"1010*",'Accounting data'!$K$2:$K$37003,"685*")</f>
        <v>0</v>
      </c>
      <c r="AA18" s="135" t="str">
        <f>IF(OR(F17="",F18="",F19=""),"yes","")</f>
        <v/>
      </c>
    </row>
    <row r="19" spans="1:27" x14ac:dyDescent="0.25">
      <c r="A19" s="93"/>
      <c r="B19" s="136"/>
      <c r="C19" s="2" t="s">
        <v>164</v>
      </c>
      <c r="D19" s="136"/>
      <c r="E19" s="137" t="s">
        <v>41</v>
      </c>
      <c r="F19" s="593">
        <f>'[3]Page 3'!$F$19</f>
        <v>0</v>
      </c>
      <c r="G19" s="105">
        <v>0</v>
      </c>
    </row>
    <row r="21" spans="1:27" x14ac:dyDescent="0.25">
      <c r="D21" s="2"/>
      <c r="E21" s="138"/>
      <c r="F21" s="2"/>
    </row>
    <row r="22" spans="1:27" x14ac:dyDescent="0.25">
      <c r="A22" s="139"/>
      <c r="B22" s="140"/>
      <c r="C22" s="140"/>
      <c r="D22" s="140"/>
      <c r="E22" s="140"/>
      <c r="F22" s="74" t="s">
        <v>165</v>
      </c>
    </row>
    <row r="23" spans="1:27" x14ac:dyDescent="0.25">
      <c r="A23" s="141" t="s">
        <v>166</v>
      </c>
      <c r="B23" s="142"/>
      <c r="C23" s="142"/>
      <c r="D23" s="143"/>
      <c r="E23" s="138"/>
      <c r="F23" s="86">
        <v>1010</v>
      </c>
    </row>
    <row r="24" spans="1:27" x14ac:dyDescent="0.25">
      <c r="A24" s="71" t="s">
        <v>167</v>
      </c>
      <c r="B24" s="72"/>
      <c r="C24" s="72"/>
      <c r="D24" s="133"/>
      <c r="E24" s="144" t="s">
        <v>43</v>
      </c>
      <c r="F24" s="591">
        <v>12486</v>
      </c>
    </row>
    <row r="25" spans="1:27" x14ac:dyDescent="0.25">
      <c r="A25" s="89"/>
      <c r="B25" t="s">
        <v>168</v>
      </c>
      <c r="D25" s="118"/>
      <c r="E25" s="65" t="s">
        <v>45</v>
      </c>
      <c r="F25" s="593">
        <f>-(SUMIFS('Accounting data'!$G$2:$G$37003,'Accounting data'!$H$2:$H$37003,"1010*",'Accounting data'!$K$2:$K$37003,"3*"))</f>
        <v>20310</v>
      </c>
    </row>
    <row r="26" spans="1:27" x14ac:dyDescent="0.25">
      <c r="A26" s="89"/>
      <c r="B26" t="s">
        <v>169</v>
      </c>
      <c r="D26" s="118"/>
      <c r="E26" s="144" t="s">
        <v>47</v>
      </c>
      <c r="F26" s="593">
        <f>-(SUMIFS('Accounting data'!$G$2:$G$37003,'Accounting data'!$H$2:$H$37003,"1010*",'Accounting data'!$K$2:$K$37003,"15*"))</f>
        <v>0</v>
      </c>
    </row>
    <row r="27" spans="1:27" x14ac:dyDescent="0.25">
      <c r="A27" s="89" t="s">
        <v>170</v>
      </c>
      <c r="D27" s="118"/>
      <c r="E27" s="144" t="s">
        <v>49</v>
      </c>
      <c r="F27" s="593">
        <f>F25+F26</f>
        <v>20310</v>
      </c>
    </row>
    <row r="28" spans="1:27" x14ac:dyDescent="0.25">
      <c r="A28" s="89" t="s">
        <v>171</v>
      </c>
      <c r="D28" s="118"/>
      <c r="E28" s="144" t="s">
        <v>51</v>
      </c>
      <c r="F28" s="593">
        <f>F24+F27</f>
        <v>32796</v>
      </c>
    </row>
    <row r="29" spans="1:27" x14ac:dyDescent="0.25">
      <c r="A29" s="89" t="s">
        <v>172</v>
      </c>
      <c r="D29" s="118"/>
      <c r="E29" s="144" t="s">
        <v>53</v>
      </c>
      <c r="F29" s="593">
        <f>K13+G17+G18+G19</f>
        <v>32796</v>
      </c>
    </row>
    <row r="30" spans="1:27" x14ac:dyDescent="0.25">
      <c r="A30" s="93" t="s">
        <v>173</v>
      </c>
      <c r="B30" s="2"/>
      <c r="C30" s="2"/>
      <c r="D30" s="122"/>
      <c r="E30" s="145" t="s">
        <v>55</v>
      </c>
      <c r="F30" s="593">
        <f>F28-F29</f>
        <v>0</v>
      </c>
    </row>
  </sheetData>
  <mergeCells count="2">
    <mergeCell ref="J4:K4"/>
    <mergeCell ref="M12:M13"/>
  </mergeCells>
  <conditionalFormatting sqref="F13:I13">
    <cfRule type="expression" dxfId="68" priority="4" stopIfTrue="1">
      <formula>$M$12&lt;&gt;""</formula>
    </cfRule>
  </conditionalFormatting>
  <conditionalFormatting sqref="G17">
    <cfRule type="containsBlanks" dxfId="67" priority="2">
      <formula>LEN(TRIM(G17))=0</formula>
    </cfRule>
  </conditionalFormatting>
  <conditionalFormatting sqref="G19">
    <cfRule type="containsBlanks" dxfId="66" priority="1">
      <formula>LEN(TRIM(G19))=0</formula>
    </cfRule>
  </conditionalFormatting>
  <conditionalFormatting sqref="K13">
    <cfRule type="expression" dxfId="65" priority="3" stopIfTrue="1">
      <formula>$M$12&lt;&gt;""</formula>
    </cfRule>
  </conditionalFormatting>
  <conditionalFormatting sqref="M12">
    <cfRule type="expression" dxfId="64" priority="8" stopIfTrue="1">
      <formula>$M$12&lt;&gt;""</formula>
    </cfRule>
  </conditionalFormatting>
  <hyperlinks>
    <hyperlink ref="A7:C7" location="ClssrmSitepg3" display="Classroom Site Project 1010" xr:uid="{00000000-0004-0000-0300-000000000000}"/>
    <hyperlink ref="C11" location="CSPlines4914" display="2300 Support services—general administration" xr:uid="{00000000-0004-0000-0300-000001000000}"/>
    <hyperlink ref="C12" location="CSPlines122615" display="3300 Community services operation" xr:uid="{00000000-0004-0000-0300-000002000000}"/>
    <hyperlink ref="A16:D16" location="CSPPropertyPayments" display="Classroom Site Project 1010 property payments" xr:uid="{00000000-0004-0000-0300-000003000000}"/>
  </hyperlinks>
  <pageMargins left="0.75" right="0.25" top="0.25" bottom="0.25" header="0.5" footer="0.15"/>
  <pageSetup paperSize="5" orientation="landscape" r:id="rId1"/>
  <headerFooter>
    <oddFooter>&amp;LRev. 8/24 Arizona Department of Education and Auditor General&amp;CFY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sheetPr>
    <pageSetUpPr fitToPage="1"/>
  </sheetPr>
  <dimension ref="A1:AA29"/>
  <sheetViews>
    <sheetView showGridLines="0" zoomScaleNormal="100" workbookViewId="0">
      <selection activeCell="F19" sqref="F19"/>
    </sheetView>
  </sheetViews>
  <sheetFormatPr defaultColWidth="8.77734375" defaultRowHeight="13.2" x14ac:dyDescent="0.25"/>
  <cols>
    <col min="1" max="1" width="1.77734375" customWidth="1"/>
    <col min="2" max="2" width="20.33203125" customWidth="1"/>
    <col min="3" max="3" width="15.33203125" customWidth="1"/>
    <col min="4" max="4" width="20" customWidth="1"/>
    <col min="5" max="5" width="5.109375" customWidth="1"/>
    <col min="6" max="9" width="15.33203125" customWidth="1"/>
    <col min="10" max="10" width="2.6640625" bestFit="1" customWidth="1"/>
    <col min="11" max="13" width="15.33203125" customWidth="1"/>
    <col min="14" max="15" width="8.77734375" customWidth="1"/>
    <col min="16" max="24" width="8.77734375" hidden="1" customWidth="1"/>
    <col min="25" max="25" width="8.77734375" customWidth="1"/>
    <col min="26" max="26" width="20.109375" customWidth="1"/>
    <col min="27" max="27" width="8.77734375" customWidth="1"/>
  </cols>
  <sheetData>
    <row r="1" spans="1:27" ht="12.75" customHeight="1" x14ac:dyDescent="0.25">
      <c r="A1" s="590" t="s">
        <v>0</v>
      </c>
      <c r="C1" s="723" t="str">
        <f>'Cover Page'!D1</f>
        <v>AIBT Non-Profit Charter High School</v>
      </c>
      <c r="D1" s="723"/>
      <c r="F1" s="608"/>
      <c r="G1" s="61" t="s">
        <v>1</v>
      </c>
      <c r="H1" s="723" t="str">
        <f>'Cover Page'!M1</f>
        <v>Maricopa</v>
      </c>
      <c r="I1" s="723"/>
      <c r="J1" s="608"/>
      <c r="K1" s="61"/>
      <c r="L1" s="61" t="s">
        <v>2</v>
      </c>
      <c r="M1" s="610" t="str">
        <f>'Cover Page'!R1</f>
        <v>078286000</v>
      </c>
    </row>
    <row r="2" spans="1:27" ht="12.75" customHeight="1" x14ac:dyDescent="0.25">
      <c r="A2" s="608"/>
      <c r="B2" s="608"/>
      <c r="C2" s="608"/>
      <c r="D2" s="608"/>
      <c r="E2" s="608"/>
      <c r="F2" s="608"/>
      <c r="G2" s="608"/>
      <c r="H2" s="608"/>
      <c r="I2" s="608"/>
      <c r="J2" s="608"/>
    </row>
    <row r="3" spans="1:27" ht="12.75" customHeight="1" x14ac:dyDescent="0.25">
      <c r="A3" s="146"/>
      <c r="B3" s="72"/>
      <c r="C3" s="72"/>
      <c r="D3" s="72"/>
      <c r="E3" s="72"/>
      <c r="F3" s="146" t="s">
        <v>20</v>
      </c>
      <c r="G3" s="615" t="s">
        <v>174</v>
      </c>
      <c r="H3" s="738" t="s">
        <v>90</v>
      </c>
      <c r="I3" s="739"/>
      <c r="J3" s="608"/>
    </row>
    <row r="4" spans="1:27" ht="12.75" customHeight="1" x14ac:dyDescent="0.25">
      <c r="A4" s="117" t="s">
        <v>92</v>
      </c>
      <c r="F4" s="79" t="s">
        <v>175</v>
      </c>
      <c r="G4" s="81" t="s">
        <v>95</v>
      </c>
      <c r="H4" s="615"/>
      <c r="I4" s="147"/>
      <c r="J4" s="608"/>
    </row>
    <row r="5" spans="1:27" ht="12.75" customHeight="1" x14ac:dyDescent="0.25">
      <c r="A5" s="93"/>
      <c r="B5" s="2"/>
      <c r="C5" s="2"/>
      <c r="D5" s="2"/>
      <c r="E5" s="2"/>
      <c r="F5" s="79">
        <v>1000</v>
      </c>
      <c r="G5" s="81">
        <v>2000</v>
      </c>
      <c r="H5" s="86" t="s">
        <v>101</v>
      </c>
      <c r="I5" s="621" t="s">
        <v>23</v>
      </c>
      <c r="J5" s="608"/>
    </row>
    <row r="6" spans="1:27" ht="12.75" customHeight="1" x14ac:dyDescent="0.25">
      <c r="A6" s="87" t="s">
        <v>176</v>
      </c>
      <c r="B6" s="72"/>
      <c r="C6" s="72"/>
      <c r="D6" s="72"/>
      <c r="E6" s="148"/>
      <c r="F6" s="149"/>
      <c r="G6" s="149"/>
      <c r="H6" s="149"/>
      <c r="I6" s="149"/>
      <c r="J6" s="150"/>
    </row>
    <row r="7" spans="1:27" ht="12.75" customHeight="1" x14ac:dyDescent="0.25">
      <c r="A7" s="89"/>
      <c r="B7" t="s">
        <v>177</v>
      </c>
      <c r="E7" s="151">
        <v>1</v>
      </c>
      <c r="F7" s="52">
        <v>0</v>
      </c>
      <c r="G7" s="52">
        <v>0</v>
      </c>
      <c r="H7" s="598">
        <f>[3]!IIPTeacherCompensationIncreases</f>
        <v>0</v>
      </c>
      <c r="I7" s="598">
        <f>SUM(F7:G7)</f>
        <v>0</v>
      </c>
      <c r="J7" s="152">
        <v>1</v>
      </c>
      <c r="AA7" s="50" t="str">
        <f>IF(OR(F7="",F8="",F9="",F10="",G7="",G9="",G10="",G23="",G24="",G25="",G26="",G27=""),"yes","")</f>
        <v/>
      </c>
    </row>
    <row r="8" spans="1:27" ht="12.75" customHeight="1" x14ac:dyDescent="0.25">
      <c r="A8" s="89"/>
      <c r="B8" t="s">
        <v>178</v>
      </c>
      <c r="E8" s="153">
        <v>2</v>
      </c>
      <c r="F8" s="52">
        <v>0</v>
      </c>
      <c r="G8" s="154"/>
      <c r="H8" s="591">
        <f>[3]!IIPClassSizeReduction</f>
        <v>0</v>
      </c>
      <c r="I8" s="593">
        <f>SUM(F8:G8)</f>
        <v>0</v>
      </c>
      <c r="J8" s="152">
        <v>2</v>
      </c>
    </row>
    <row r="9" spans="1:27" ht="12.75" customHeight="1" x14ac:dyDescent="0.25">
      <c r="A9" s="89"/>
      <c r="B9" t="s">
        <v>179</v>
      </c>
      <c r="E9" s="153">
        <v>3</v>
      </c>
      <c r="F9" s="51">
        <v>0</v>
      </c>
      <c r="G9" s="51">
        <v>0</v>
      </c>
      <c r="H9" s="591">
        <f>[3]!IIPDropoutPreventionPrograms</f>
        <v>520</v>
      </c>
      <c r="I9" s="593">
        <f>SUM(F9:G9)</f>
        <v>0</v>
      </c>
      <c r="J9" s="152">
        <v>3</v>
      </c>
    </row>
    <row r="10" spans="1:27" ht="12.75" customHeight="1" x14ac:dyDescent="0.25">
      <c r="A10" s="89"/>
      <c r="B10" t="s">
        <v>180</v>
      </c>
      <c r="E10" s="153">
        <v>4</v>
      </c>
      <c r="F10" s="51">
        <f>'Accounting data'!G68</f>
        <v>1255</v>
      </c>
      <c r="G10" s="51">
        <v>0</v>
      </c>
      <c r="H10" s="591">
        <f>[3]!IIPInstructionalImprovementPrograms</f>
        <v>0</v>
      </c>
      <c r="I10" s="593">
        <f>SUM(F10:G10)</f>
        <v>1255</v>
      </c>
      <c r="J10" s="152">
        <v>4</v>
      </c>
      <c r="K10" s="718" t="str">
        <f>IF('Page 2'!J48=0,"",IF(('Page 4'!I11=0),"If the Charter did not have any expense, verify by checking the box in A18 on the Cover Page.",""))</f>
        <v/>
      </c>
      <c r="L10" s="718"/>
      <c r="M10" s="718"/>
      <c r="N10" s="718"/>
      <c r="O10" s="718"/>
      <c r="P10" s="718"/>
      <c r="Q10" s="718"/>
      <c r="R10" s="718"/>
      <c r="S10" s="718"/>
      <c r="T10" s="718"/>
      <c r="U10" s="718"/>
      <c r="V10" s="718"/>
      <c r="W10" s="718"/>
      <c r="X10" s="718"/>
      <c r="Y10" s="718"/>
      <c r="Z10" s="718"/>
    </row>
    <row r="11" spans="1:27" ht="12.75" customHeight="1" x14ac:dyDescent="0.25">
      <c r="A11" s="93" t="s">
        <v>181</v>
      </c>
      <c r="B11" s="2"/>
      <c r="C11" s="2"/>
      <c r="D11" s="2"/>
      <c r="E11" s="155">
        <v>5</v>
      </c>
      <c r="F11" s="593">
        <f>SUM(F6:F10)</f>
        <v>1255</v>
      </c>
      <c r="G11" s="593">
        <f>SUM(G6:G10)</f>
        <v>0</v>
      </c>
      <c r="H11" s="593">
        <f>SUM(H7:H10)</f>
        <v>520</v>
      </c>
      <c r="I11" s="593">
        <f>SUM(I7:I10)</f>
        <v>1255</v>
      </c>
      <c r="J11" s="152">
        <v>5</v>
      </c>
      <c r="K11" s="718" t="str">
        <f>IF('Page 2'!J48=0,"",IF(('Page 4'!I11&lt;&gt;'Page 2'!J44),"Total expenses for Instructional Improvement Project on line 5 should agree to the line 35 on page 2.",""))</f>
        <v/>
      </c>
      <c r="L11" s="718"/>
      <c r="M11" s="718"/>
      <c r="N11" s="718"/>
      <c r="O11" s="718"/>
      <c r="P11" s="718"/>
      <c r="Q11" s="718"/>
      <c r="R11" s="718"/>
      <c r="S11" s="718"/>
      <c r="T11" s="718"/>
      <c r="U11" s="718"/>
      <c r="V11" s="718"/>
      <c r="W11" s="718"/>
      <c r="X11" s="718"/>
      <c r="Y11" s="718"/>
      <c r="Z11" s="718"/>
    </row>
    <row r="12" spans="1:27" ht="12.75" customHeight="1" x14ac:dyDescent="0.25">
      <c r="K12" s="612"/>
    </row>
    <row r="13" spans="1:27" ht="12.75" customHeight="1" x14ac:dyDescent="0.25">
      <c r="A13" s="71"/>
      <c r="B13" s="72"/>
      <c r="C13" s="72"/>
      <c r="D13" s="72"/>
      <c r="E13" s="73"/>
      <c r="F13" s="83"/>
    </row>
    <row r="14" spans="1:27" ht="12.75" customHeight="1" x14ac:dyDescent="0.25">
      <c r="A14" s="84" t="s">
        <v>182</v>
      </c>
      <c r="B14" s="2"/>
      <c r="C14" s="2"/>
      <c r="D14" s="2"/>
      <c r="E14" s="85"/>
      <c r="F14" s="156" t="s">
        <v>23</v>
      </c>
    </row>
    <row r="15" spans="1:27" ht="12.75" customHeight="1" x14ac:dyDescent="0.25">
      <c r="A15" s="89" t="s">
        <v>167</v>
      </c>
      <c r="B15" s="608"/>
      <c r="D15" s="157"/>
      <c r="E15" s="158">
        <v>6</v>
      </c>
      <c r="F15" s="591">
        <v>0</v>
      </c>
      <c r="G15" s="152">
        <v>6</v>
      </c>
      <c r="I15" s="612"/>
      <c r="J15" s="612"/>
    </row>
    <row r="16" spans="1:27" ht="12.75" customHeight="1" x14ac:dyDescent="0.25">
      <c r="A16" s="159" t="s">
        <v>168</v>
      </c>
      <c r="B16" s="28"/>
      <c r="D16" s="160"/>
      <c r="E16" s="158">
        <v>7</v>
      </c>
      <c r="F16" s="593">
        <f>-(SUMIFS('Accounting data'!$G$2:$G$37003,'Accounting data'!$H$2:$H$37003,"1020*",'Accounting data'!$K$2:$K$37003,"1*")+SUMIFS('Accounting data'!$G$2:$G$37003,'Accounting data'!$H$2:$H$37003,"1020*",'Accounting data'!$K$2:$K$37003,"2*")+SUMIFS('Accounting data'!$G$2:$G$37003,'Accounting data'!$H$2:$H$37003,"1020*",'Accounting data'!$K$2:$K$37003,"3*")+SUMIFS('Accounting data'!$G$2:$G$37003,'Accounting data'!$H$2:$H$37003,"1020*",'Accounting data'!$K$2:$K$37003,"4*")+SUMIFS('Accounting data'!$G$2:$G$37003,'Accounting data'!$H$2:$H$37003,"1020*",'Accounting data'!$K$2:$K$37003,"Other*"))</f>
        <v>1255</v>
      </c>
      <c r="G16" s="152">
        <v>7</v>
      </c>
      <c r="I16" s="612"/>
      <c r="J16" s="612"/>
    </row>
    <row r="17" spans="1:12" ht="12.75" customHeight="1" x14ac:dyDescent="0.25">
      <c r="A17" s="159" t="s">
        <v>183</v>
      </c>
      <c r="B17" s="28"/>
      <c r="D17" s="160"/>
      <c r="E17" s="158">
        <v>8</v>
      </c>
      <c r="F17" s="593">
        <f>SUM(F15:F16)</f>
        <v>1255</v>
      </c>
      <c r="G17" s="152">
        <v>8</v>
      </c>
      <c r="I17" s="612"/>
      <c r="J17" s="612"/>
    </row>
    <row r="18" spans="1:12" ht="12.75" customHeight="1" x14ac:dyDescent="0.25">
      <c r="A18" s="159" t="s">
        <v>184</v>
      </c>
      <c r="D18" s="160"/>
      <c r="E18" s="158">
        <v>9</v>
      </c>
      <c r="F18" s="593">
        <f>ActualTotalInstImpExp</f>
        <v>1255</v>
      </c>
      <c r="G18" s="152">
        <v>9</v>
      </c>
      <c r="I18" s="612"/>
      <c r="J18" s="612"/>
    </row>
    <row r="19" spans="1:12" ht="12.75" customHeight="1" x14ac:dyDescent="0.25">
      <c r="A19" s="161" t="s">
        <v>185</v>
      </c>
      <c r="B19" s="2"/>
      <c r="C19" s="2"/>
      <c r="D19" s="162"/>
      <c r="E19" s="163">
        <v>10</v>
      </c>
      <c r="F19" s="593">
        <f>F17-F18</f>
        <v>0</v>
      </c>
      <c r="G19" s="152">
        <v>10</v>
      </c>
    </row>
    <row r="20" spans="1:12" ht="12.75" customHeight="1" x14ac:dyDescent="0.25">
      <c r="A20" s="157"/>
      <c r="D20" s="157"/>
      <c r="E20" s="158"/>
      <c r="F20" s="164"/>
      <c r="G20" s="152"/>
    </row>
    <row r="21" spans="1:12" ht="12.75" customHeight="1" x14ac:dyDescent="0.25">
      <c r="A21" s="71"/>
      <c r="B21" s="72"/>
      <c r="C21" s="72"/>
      <c r="D21" s="165"/>
      <c r="E21" s="166"/>
      <c r="F21" s="167"/>
      <c r="G21" s="167"/>
      <c r="H21" s="152"/>
    </row>
    <row r="22" spans="1:12" ht="12.75" customHeight="1" x14ac:dyDescent="0.25">
      <c r="A22" s="741" t="s">
        <v>186</v>
      </c>
      <c r="B22" s="741"/>
      <c r="C22" s="741"/>
      <c r="D22" s="741"/>
      <c r="E22" s="168"/>
      <c r="F22" s="169" t="s">
        <v>101</v>
      </c>
      <c r="G22" s="169" t="s">
        <v>23</v>
      </c>
      <c r="H22" s="170"/>
    </row>
    <row r="23" spans="1:12" ht="12.75" customHeight="1" x14ac:dyDescent="0.25">
      <c r="A23" s="171"/>
      <c r="B23" s="72" t="s">
        <v>187</v>
      </c>
      <c r="C23" s="72"/>
      <c r="D23" s="172"/>
      <c r="E23" s="173">
        <v>1</v>
      </c>
      <c r="F23" s="174"/>
      <c r="G23" s="53">
        <v>0</v>
      </c>
      <c r="H23" s="175">
        <v>1</v>
      </c>
    </row>
    <row r="24" spans="1:12" ht="12.75" customHeight="1" x14ac:dyDescent="0.25">
      <c r="A24" s="176"/>
      <c r="B24" t="s">
        <v>188</v>
      </c>
      <c r="D24" s="160"/>
      <c r="E24" s="177">
        <v>2</v>
      </c>
      <c r="F24" s="174"/>
      <c r="G24" s="53">
        <v>0</v>
      </c>
      <c r="H24" s="175">
        <v>2</v>
      </c>
    </row>
    <row r="25" spans="1:12" ht="12.75" customHeight="1" x14ac:dyDescent="0.25">
      <c r="A25" s="176"/>
      <c r="B25" t="s">
        <v>189</v>
      </c>
      <c r="D25" s="160"/>
      <c r="E25" s="177">
        <v>3</v>
      </c>
      <c r="F25" s="174"/>
      <c r="G25" s="53">
        <v>0</v>
      </c>
      <c r="H25" s="175">
        <v>3</v>
      </c>
    </row>
    <row r="26" spans="1:12" ht="12.75" customHeight="1" x14ac:dyDescent="0.25">
      <c r="A26" s="176"/>
      <c r="B26" t="s">
        <v>190</v>
      </c>
      <c r="D26" s="160"/>
      <c r="E26" s="177">
        <v>4</v>
      </c>
      <c r="F26" s="174"/>
      <c r="G26" s="53">
        <v>0</v>
      </c>
      <c r="H26" s="175">
        <v>4</v>
      </c>
    </row>
    <row r="27" spans="1:12" ht="12.75" customHeight="1" x14ac:dyDescent="0.25">
      <c r="A27" s="176"/>
      <c r="B27" t="s">
        <v>191</v>
      </c>
      <c r="D27" s="160"/>
      <c r="E27" s="177">
        <v>5</v>
      </c>
      <c r="F27" s="174"/>
      <c r="G27" s="53">
        <v>0</v>
      </c>
      <c r="H27" s="175">
        <v>5</v>
      </c>
    </row>
    <row r="28" spans="1:12" ht="12.75" customHeight="1" x14ac:dyDescent="0.25">
      <c r="A28" s="93" t="s">
        <v>192</v>
      </c>
      <c r="B28" s="2"/>
      <c r="C28" s="2"/>
      <c r="D28" s="2"/>
      <c r="E28" s="178">
        <v>6</v>
      </c>
      <c r="F28" s="591">
        <f>'[3]Page 2'!$E$35</f>
        <v>0</v>
      </c>
      <c r="G28" s="593">
        <f>SUM(G23:G27)</f>
        <v>0</v>
      </c>
      <c r="H28" s="175">
        <v>6</v>
      </c>
      <c r="I28" s="608"/>
      <c r="J28" s="608"/>
      <c r="K28" s="608"/>
      <c r="L28" s="608"/>
    </row>
    <row r="29" spans="1:12" ht="12.75" customHeight="1" x14ac:dyDescent="0.25">
      <c r="F29" s="179"/>
      <c r="G29" s="179"/>
      <c r="H29" s="179"/>
      <c r="I29" s="179"/>
      <c r="J29" s="179"/>
      <c r="K29" s="180"/>
      <c r="L29" s="179"/>
    </row>
  </sheetData>
  <sheetProtection formatCells="0" formatColumns="0" formatRows="0"/>
  <mergeCells count="6">
    <mergeCell ref="A22:D22"/>
    <mergeCell ref="K11:Z11"/>
    <mergeCell ref="H1:I1"/>
    <mergeCell ref="H3:I3"/>
    <mergeCell ref="C1:D1"/>
    <mergeCell ref="K10:Z10"/>
  </mergeCells>
  <conditionalFormatting sqref="G23:G27">
    <cfRule type="expression" dxfId="63" priority="4" stopIfTrue="1">
      <formula>G23=""</formula>
    </cfRule>
  </conditionalFormatting>
  <conditionalFormatting sqref="G7:I7 F7:F10 G9:G10">
    <cfRule type="expression" dxfId="62" priority="5" stopIfTrue="1">
      <formula>F7=""</formula>
    </cfRule>
  </conditionalFormatting>
  <conditionalFormatting sqref="K10:Z10">
    <cfRule type="expression" dxfId="61" priority="1" stopIfTrue="1">
      <formula>$K$10&lt;&gt;""</formula>
    </cfRule>
    <cfRule type="expression" dxfId="60" priority="2" stopIfTrue="1">
      <formula>"K10&lt;&gt;"""""</formula>
    </cfRule>
  </conditionalFormatting>
  <conditionalFormatting sqref="K11:Z11">
    <cfRule type="expression" dxfId="59" priority="6" stopIfTrue="1">
      <formula>$K$11&lt;&gt;""</formula>
    </cfRule>
  </conditionalFormatting>
  <hyperlinks>
    <hyperlink ref="A22:D22" location="ArizonaIndustryCredentialsIncentive" display="Arizona Industry Credentials Incentive Project—detailed expenses" xr:uid="{00000000-0004-0000-0400-000000000000}"/>
  </hyperlinks>
  <pageMargins left="0.75" right="0.25" top="0.25" bottom="0.25" header="0.5" footer="0.15"/>
  <pageSetup paperSize="5" orientation="landscape" r:id="rId1"/>
  <headerFooter>
    <oddFooter>&amp;LRev. 8/24 Arizona Department of Education and Auditor General&amp;CFY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P48"/>
  <sheetViews>
    <sheetView showGridLines="0" zoomScaleNormal="100" workbookViewId="0"/>
  </sheetViews>
  <sheetFormatPr defaultColWidth="9.33203125" defaultRowHeight="13.2" x14ac:dyDescent="0.25"/>
  <cols>
    <col min="1" max="1" width="1.77734375" customWidth="1"/>
    <col min="2" max="2" width="2" customWidth="1"/>
    <col min="3" max="3" width="17" customWidth="1"/>
    <col min="4" max="4" width="24" customWidth="1"/>
    <col min="5" max="5" width="4.33203125" bestFit="1" customWidth="1"/>
    <col min="6" max="9" width="12.77734375" customWidth="1"/>
    <col min="10" max="10" width="14.77734375" customWidth="1"/>
    <col min="11" max="15" width="12.77734375" customWidth="1"/>
    <col min="16" max="16" width="3.6640625" bestFit="1" customWidth="1"/>
  </cols>
  <sheetData>
    <row r="1" spans="1:16" ht="12" customHeight="1" x14ac:dyDescent="0.25">
      <c r="A1" s="590" t="s">
        <v>0</v>
      </c>
      <c r="D1" s="723" t="str">
        <f>'Cover Page'!D1</f>
        <v>AIBT Non-Profit Charter High School</v>
      </c>
      <c r="E1" s="723"/>
      <c r="F1" s="608"/>
      <c r="G1" s="608"/>
      <c r="I1" s="61" t="s">
        <v>1</v>
      </c>
      <c r="J1" s="723" t="str">
        <f>'Cover Page'!M1</f>
        <v>Maricopa</v>
      </c>
      <c r="K1" s="723"/>
      <c r="M1" s="61" t="s">
        <v>2</v>
      </c>
      <c r="N1" s="61"/>
      <c r="O1" s="610" t="str">
        <f>'Cover Page'!R1</f>
        <v>078286000</v>
      </c>
    </row>
    <row r="2" spans="1:16" ht="12" customHeight="1" x14ac:dyDescent="0.25">
      <c r="A2" s="69"/>
      <c r="B2" s="69"/>
      <c r="C2" s="69"/>
      <c r="D2" s="69"/>
      <c r="E2" s="69"/>
      <c r="F2" s="69"/>
      <c r="G2" s="69"/>
      <c r="H2" s="69"/>
      <c r="I2" s="69"/>
      <c r="J2" s="69"/>
    </row>
    <row r="3" spans="1:16" ht="12" customHeight="1" x14ac:dyDescent="0.25">
      <c r="A3" s="87"/>
      <c r="B3" s="72"/>
      <c r="C3" s="72"/>
      <c r="D3" s="72"/>
      <c r="E3" s="73"/>
      <c r="F3" s="182" t="s">
        <v>193</v>
      </c>
      <c r="G3" s="73"/>
      <c r="H3" s="615"/>
      <c r="I3" s="183" t="s">
        <v>194</v>
      </c>
      <c r="J3" s="615" t="s">
        <v>89</v>
      </c>
      <c r="K3" s="73"/>
      <c r="L3" s="83"/>
      <c r="M3" s="738" t="s">
        <v>195</v>
      </c>
      <c r="N3" s="748"/>
      <c r="O3" s="615" t="s">
        <v>196</v>
      </c>
    </row>
    <row r="4" spans="1:16" ht="12" customHeight="1" x14ac:dyDescent="0.25">
      <c r="A4" s="95" t="s">
        <v>197</v>
      </c>
      <c r="E4" s="78"/>
      <c r="F4" s="81" t="s">
        <v>198</v>
      </c>
      <c r="G4" s="147" t="s">
        <v>23</v>
      </c>
      <c r="H4" s="81" t="s">
        <v>93</v>
      </c>
      <c r="I4" s="79" t="s">
        <v>94</v>
      </c>
      <c r="J4" s="81" t="s">
        <v>95</v>
      </c>
      <c r="K4" s="147" t="s">
        <v>96</v>
      </c>
      <c r="L4" s="81" t="s">
        <v>97</v>
      </c>
      <c r="M4" s="184"/>
      <c r="O4" s="81" t="s">
        <v>198</v>
      </c>
    </row>
    <row r="5" spans="1:16" ht="12" customHeight="1" x14ac:dyDescent="0.25">
      <c r="A5" s="93"/>
      <c r="B5" s="2"/>
      <c r="C5" s="2"/>
      <c r="D5" s="2"/>
      <c r="E5" s="185"/>
      <c r="F5" s="86" t="s">
        <v>199</v>
      </c>
      <c r="G5" s="186" t="s">
        <v>200</v>
      </c>
      <c r="H5" s="86">
        <v>6100</v>
      </c>
      <c r="I5" s="620">
        <v>6200</v>
      </c>
      <c r="J5" s="86" t="s">
        <v>100</v>
      </c>
      <c r="K5" s="621">
        <v>6600</v>
      </c>
      <c r="L5" s="86">
        <v>6800</v>
      </c>
      <c r="M5" s="187" t="s">
        <v>101</v>
      </c>
      <c r="N5" s="188" t="s">
        <v>23</v>
      </c>
      <c r="O5" s="86" t="s">
        <v>199</v>
      </c>
    </row>
    <row r="6" spans="1:16" ht="11.25" customHeight="1" x14ac:dyDescent="0.25">
      <c r="A6" s="87" t="s">
        <v>201</v>
      </c>
      <c r="B6" s="72"/>
      <c r="C6" s="72"/>
      <c r="D6" s="72"/>
      <c r="F6" s="744"/>
      <c r="G6" s="744"/>
      <c r="H6" s="744"/>
      <c r="I6" s="744"/>
      <c r="J6" s="744"/>
      <c r="K6" s="744"/>
      <c r="L6" s="744"/>
      <c r="M6" s="744"/>
      <c r="N6" s="616"/>
      <c r="O6" s="744"/>
    </row>
    <row r="7" spans="1:16" ht="11.25" customHeight="1" x14ac:dyDescent="0.25">
      <c r="A7" s="117" t="s">
        <v>168</v>
      </c>
      <c r="E7" s="189"/>
      <c r="F7" s="745"/>
      <c r="G7" s="745"/>
      <c r="H7" s="745"/>
      <c r="I7" s="745"/>
      <c r="J7" s="745"/>
      <c r="K7" s="745"/>
      <c r="L7" s="745"/>
      <c r="M7" s="745"/>
      <c r="N7" s="617"/>
      <c r="O7" s="745"/>
    </row>
    <row r="8" spans="1:16" ht="12" customHeight="1" x14ac:dyDescent="0.25">
      <c r="A8" s="117"/>
      <c r="B8" t="s">
        <v>202</v>
      </c>
      <c r="E8" s="189">
        <v>1</v>
      </c>
      <c r="F8" s="190"/>
      <c r="G8" s="593">
        <f>-(SUMIFS('Accounting data'!$G$2:$G$37003,'Accounting data'!$H$2:$H$37003,"1071*",'Accounting data'!$K$2:$K$37003,"32*"))</f>
        <v>0</v>
      </c>
      <c r="H8" s="190"/>
      <c r="I8" s="190"/>
      <c r="J8" s="190"/>
      <c r="K8" s="190"/>
      <c r="L8" s="190"/>
      <c r="M8" s="190"/>
      <c r="N8" s="190"/>
      <c r="O8" s="190"/>
      <c r="P8" s="152">
        <v>1</v>
      </c>
    </row>
    <row r="9" spans="1:16" ht="12" customHeight="1" x14ac:dyDescent="0.25">
      <c r="A9" s="117"/>
      <c r="B9" t="s">
        <v>203</v>
      </c>
      <c r="E9" s="189">
        <v>2</v>
      </c>
      <c r="F9" s="190"/>
      <c r="G9" s="593">
        <f>-(SUMIFS('Accounting data'!$G$2:$G$37003,'Accounting data'!$H$2:$H$37003,"1071*",'Accounting data'!$K$2:$K$37003,"15*"))</f>
        <v>0</v>
      </c>
      <c r="H9" s="190"/>
      <c r="I9" s="190"/>
      <c r="J9" s="190"/>
      <c r="K9" s="190"/>
      <c r="L9" s="190"/>
      <c r="M9" s="190"/>
      <c r="N9" s="190"/>
      <c r="O9" s="190"/>
      <c r="P9" s="152">
        <v>2</v>
      </c>
    </row>
    <row r="10" spans="1:16" ht="12" customHeight="1" x14ac:dyDescent="0.25">
      <c r="A10" s="89" t="s">
        <v>204</v>
      </c>
      <c r="E10" s="189">
        <v>3</v>
      </c>
      <c r="F10" s="190"/>
      <c r="G10" s="593">
        <f>SUM(G8:G9)</f>
        <v>0</v>
      </c>
      <c r="H10" s="191"/>
      <c r="I10" s="191"/>
      <c r="J10" s="191"/>
      <c r="K10" s="191"/>
      <c r="L10" s="191"/>
      <c r="M10" s="190"/>
      <c r="N10" s="190"/>
      <c r="O10" s="190"/>
      <c r="P10" s="152">
        <v>3</v>
      </c>
    </row>
    <row r="11" spans="1:16" ht="11.25" customHeight="1" x14ac:dyDescent="0.25">
      <c r="A11" s="117" t="s">
        <v>92</v>
      </c>
      <c r="E11" s="192"/>
      <c r="F11" s="193"/>
      <c r="G11" s="751"/>
      <c r="H11" s="194"/>
      <c r="I11" s="194"/>
      <c r="J11" s="194"/>
      <c r="K11" s="194"/>
      <c r="L11" s="194"/>
      <c r="M11" s="194"/>
      <c r="N11" s="194"/>
      <c r="O11" s="195"/>
    </row>
    <row r="12" spans="1:16" ht="12" customHeight="1" x14ac:dyDescent="0.25">
      <c r="A12" s="89" t="s">
        <v>205</v>
      </c>
      <c r="F12" s="196"/>
      <c r="G12" s="752"/>
      <c r="H12" s="197"/>
      <c r="I12" s="197"/>
      <c r="J12" s="197"/>
      <c r="K12" s="197"/>
      <c r="L12" s="197"/>
      <c r="M12" s="197"/>
      <c r="N12" s="197"/>
      <c r="O12" s="198"/>
    </row>
    <row r="13" spans="1:16" ht="12" customHeight="1" x14ac:dyDescent="0.25">
      <c r="A13" s="89"/>
      <c r="B13" t="s">
        <v>206</v>
      </c>
      <c r="E13" s="192">
        <v>4</v>
      </c>
      <c r="F13" s="199"/>
      <c r="G13" s="753"/>
      <c r="H13" s="598">
        <f>SUMIFS('Accounting data'!$G$2:$G$37003,'Accounting data'!$H$2:$H$37003,"1071*",'Accounting data'!$I$2:$I$37003,"260*",'Accounting data'!$J$2:$J$37003,"1*",'Accounting data'!$K$2:$K$37003,"61*")</f>
        <v>0</v>
      </c>
      <c r="I13" s="598">
        <f>SUMIFS('Accounting data'!$G$2:$G$37003,'Accounting data'!$H$2:$H$37003,"1071*",'Accounting data'!$I$2:$I$37003,"260*",'Accounting data'!$J$2:$J$37003,"1*",'Accounting data'!$K$2:$K$37003,"62*")</f>
        <v>0</v>
      </c>
      <c r="J13" s="598">
        <f>SUMIFS('Accounting data'!$G$2:$G$37003,'Accounting data'!$H$2:$H$37003,"1071*",'Accounting data'!$I$2:$I$37003,"260*",'Accounting data'!$J$2:$J$37003,"1*",'Accounting data'!$K$2:$K$37003,"63*")</f>
        <v>0</v>
      </c>
      <c r="K13" s="598">
        <f>SUMIFS('Accounting data'!$G$2:$G$37003,'Accounting data'!$H$2:$H$37003,"1071*",'Accounting data'!$I$2:$I$37003,"260*",'Accounting data'!$J$2:$J$37003,"1*",'Accounting data'!$K$2:$K$37003,"66*")</f>
        <v>0</v>
      </c>
      <c r="L13" s="598">
        <f>SUMIFS('Accounting data'!$G$2:$G$37003,'Accounting data'!$H$2:$H$37003,"1071*",'Accounting data'!$I$2:$I$37003,"260*",'Accounting data'!$J$2:$J$37003,"1*",'Accounting data'!$K$2:$K$37003,"68*")</f>
        <v>0</v>
      </c>
      <c r="M13" s="598">
        <f>[3]!SEIP1071P260F1000</f>
        <v>0</v>
      </c>
      <c r="N13" s="598">
        <f>SUM(H13:L13)</f>
        <v>0</v>
      </c>
      <c r="O13" s="200"/>
      <c r="P13" s="152">
        <v>4</v>
      </c>
    </row>
    <row r="14" spans="1:16" ht="12" customHeight="1" x14ac:dyDescent="0.25">
      <c r="A14" s="89"/>
      <c r="B14" t="s">
        <v>207</v>
      </c>
      <c r="F14" s="193"/>
      <c r="G14" s="751"/>
      <c r="H14" s="197"/>
      <c r="I14" s="197"/>
      <c r="J14" s="197"/>
      <c r="K14" s="197"/>
      <c r="L14" s="197"/>
      <c r="M14" s="749">
        <f>[3]!SEIP1071P260F2100</f>
        <v>0</v>
      </c>
      <c r="N14" s="755">
        <f>SUM(H15:L15)</f>
        <v>0</v>
      </c>
      <c r="O14" s="195"/>
    </row>
    <row r="15" spans="1:16" ht="12" customHeight="1" x14ac:dyDescent="0.25">
      <c r="A15" s="89"/>
      <c r="C15" t="s">
        <v>208</v>
      </c>
      <c r="E15" s="189">
        <v>5</v>
      </c>
      <c r="F15" s="199"/>
      <c r="G15" s="753"/>
      <c r="H15" s="598">
        <f>SUMIFS('Accounting data'!$G$2:$G$37003,'Accounting data'!$H$2:$H$37003,"1071*",'Accounting data'!$I$2:$I$37003,"260*",'Accounting data'!$J$2:$J$37003,"21*",'Accounting data'!$K$2:$K$37003,"61*")</f>
        <v>0</v>
      </c>
      <c r="I15" s="598">
        <f>SUMIFS('Accounting data'!$G$2:$G$37003,'Accounting data'!$H$2:$H$37003,"1071*",'Accounting data'!$I$2:$I$37003,"260*",'Accounting data'!$J$2:$J$37003,"21*",'Accounting data'!$K$2:$K$37003,"62*")</f>
        <v>0</v>
      </c>
      <c r="J15" s="598">
        <f>SUMIFS('Accounting data'!$G$2:$G$37003,'Accounting data'!$H$2:$H$37003,"1071*",'Accounting data'!$I$2:$I$37003,"260*",'Accounting data'!$J$2:$J$37003,"21*",'Accounting data'!$K$2:$K$37003,"63*")</f>
        <v>0</v>
      </c>
      <c r="K15" s="598">
        <f>SUMIFS('Accounting data'!$G$2:$G$37003,'Accounting data'!$H$2:$H$37003,"1071*",'Accounting data'!$I$2:$I$37003,"260*",'Accounting data'!$J$2:$J$37003,"21*",'Accounting data'!$K$2:$K$37003,"66*")</f>
        <v>0</v>
      </c>
      <c r="L15" s="598">
        <f>SUMIFS('Accounting data'!$G$2:$G$37003,'Accounting data'!$H$2:$H$37003,"1071*",'Accounting data'!$I$2:$I$37003,"260*",'Accounting data'!$J$2:$J$37003,"21*",'Accounting data'!$K$2:$K$37003,"68*")</f>
        <v>0</v>
      </c>
      <c r="M15" s="750"/>
      <c r="N15" s="756"/>
      <c r="O15" s="200"/>
      <c r="P15" s="152">
        <v>5</v>
      </c>
    </row>
    <row r="16" spans="1:16" ht="12" customHeight="1" x14ac:dyDescent="0.25">
      <c r="A16" s="89"/>
      <c r="C16" t="s">
        <v>209</v>
      </c>
      <c r="E16" s="192">
        <v>6</v>
      </c>
      <c r="F16" s="201"/>
      <c r="G16" s="202"/>
      <c r="H16" s="598">
        <f>SUMIFS('Accounting data'!$G$2:$G$37003,'Accounting data'!$H$2:$H$37003,"1071*",'Accounting data'!$I$2:$I$37003,"260*",'Accounting data'!$J$2:$J$37003,"22*",'Accounting data'!$K$2:$K$37003,"61*")</f>
        <v>0</v>
      </c>
      <c r="I16" s="598">
        <f>SUMIFS('Accounting data'!$G$2:$G$37003,'Accounting data'!$H$2:$H$37003,"1071*",'Accounting data'!$I$2:$I$37003,"260*",'Accounting data'!$J$2:$J$37003,"22*",'Accounting data'!$K$2:$K$37003,"62*")</f>
        <v>0</v>
      </c>
      <c r="J16" s="598">
        <f>SUMIFS('Accounting data'!$G$2:$G$37003,'Accounting data'!$H$2:$H$37003,"1071*",'Accounting data'!$I$2:$I$37003,"260*",'Accounting data'!$J$2:$J$37003,"22*",'Accounting data'!$K$2:$K$37003,"63*")</f>
        <v>0</v>
      </c>
      <c r="K16" s="598">
        <f>SUMIFS('Accounting data'!$G$2:$G$37003,'Accounting data'!$H$2:$H$37003,"1071*",'Accounting data'!$I$2:$I$37003,"260*",'Accounting data'!$J$2:$J$37003,"22*",'Accounting data'!$K$2:$K$37003,"66*")</f>
        <v>0</v>
      </c>
      <c r="L16" s="598">
        <f>SUMIFS('Accounting data'!$G$2:$G$37003,'Accounting data'!$H$2:$H$37003,"1071*",'Accounting data'!$I$2:$I$37003,"260*",'Accounting data'!$J$2:$J$37003,"22*",'Accounting data'!$K$2:$K$37003,"68*")</f>
        <v>0</v>
      </c>
      <c r="M16" s="591">
        <f>[3]!SEIP1071P260F2200</f>
        <v>0</v>
      </c>
      <c r="N16" s="593">
        <f t="shared" ref="N16:N21" si="0">SUM(H16:L16)</f>
        <v>0</v>
      </c>
      <c r="O16" s="203"/>
      <c r="P16" s="152">
        <v>6</v>
      </c>
    </row>
    <row r="17" spans="1:16" ht="12" customHeight="1" x14ac:dyDescent="0.25">
      <c r="A17" s="89"/>
      <c r="C17" t="s">
        <v>210</v>
      </c>
      <c r="E17" s="189">
        <v>7</v>
      </c>
      <c r="F17" s="201"/>
      <c r="G17" s="202"/>
      <c r="H17" s="593">
        <f>SUMIFS('Accounting data'!$G$2:$G$37003,'Accounting data'!$H$2:$H$37003,"1071*",'Accounting data'!$I$2:$I$37003,"260*",'Accounting data'!$J$2:$J$37003,"23*",'Accounting data'!$K$2:$K$37003,"61*")</f>
        <v>0</v>
      </c>
      <c r="I17" s="593">
        <f>SUMIFS('Accounting data'!$G$2:$G$37003,'Accounting data'!$H$2:$H$37003,"1071*",'Accounting data'!$I$2:$I$37003,"260*",'Accounting data'!$J$2:$J$37003,"23*",'Accounting data'!$K$2:$K$37003,"62*")</f>
        <v>0</v>
      </c>
      <c r="J17" s="593">
        <f>SUMIFS('Accounting data'!$G$2:$G$37003,'Accounting data'!$H$2:$H$37003,"1071*",'Accounting data'!$I$2:$I$37003,"260*",'Accounting data'!$J$2:$J$37003,"23*",'Accounting data'!$K$2:$K$37003,"63*")</f>
        <v>0</v>
      </c>
      <c r="K17" s="593">
        <f>SUMIFS('Accounting data'!$G$2:$G$37003,'Accounting data'!$H$2:$H$37003,"1071*",'Accounting data'!$I$2:$I$37003,"260*",'Accounting data'!$J$2:$J$37003,"23*",'Accounting data'!$K$2:$K$37003,"66*")</f>
        <v>0</v>
      </c>
      <c r="L17" s="593">
        <f>SUMIFS('Accounting data'!$G$2:$G$37003,'Accounting data'!$H$2:$H$37003,"1071*",'Accounting data'!$I$2:$I$37003,"260*",'Accounting data'!$J$2:$J$37003,"23*",'Accounting data'!$K$2:$K$37003,"68*")</f>
        <v>0</v>
      </c>
      <c r="M17" s="591">
        <f>[3]!SEIP1071P260F2300</f>
        <v>0</v>
      </c>
      <c r="N17" s="593">
        <f t="shared" si="0"/>
        <v>0</v>
      </c>
      <c r="O17" s="203"/>
      <c r="P17" s="152">
        <v>7</v>
      </c>
    </row>
    <row r="18" spans="1:16" ht="12" customHeight="1" x14ac:dyDescent="0.25">
      <c r="A18" s="89"/>
      <c r="C18" t="s">
        <v>211</v>
      </c>
      <c r="E18" s="189">
        <v>8</v>
      </c>
      <c r="F18" s="201"/>
      <c r="G18" s="202"/>
      <c r="H18" s="593">
        <f>SUMIFS('Accounting data'!$G$2:$G$37003,'Accounting data'!$H$2:$H$37003,"1071*",'Accounting data'!$I$2:$I$37003,"260*",'Accounting data'!$J$2:$J$37003,"24*",'Accounting data'!$K$2:$K$37003,"61*")</f>
        <v>0</v>
      </c>
      <c r="I18" s="593">
        <f>SUMIFS('Accounting data'!$G$2:$G$37003,'Accounting data'!$H$2:$H$37003,"1071*",'Accounting data'!$I$2:$I$37003,"260*",'Accounting data'!$J$2:$J$37003,"24*",'Accounting data'!$K$2:$K$37003,"62*")</f>
        <v>0</v>
      </c>
      <c r="J18" s="593">
        <f>SUMIFS('Accounting data'!$G$2:$G$37003,'Accounting data'!$H$2:$H$37003,"1071*",'Accounting data'!$I$2:$I$37003,"260*",'Accounting data'!$J$2:$J$37003,"24*",'Accounting data'!$K$2:$K$37003,"63*")</f>
        <v>0</v>
      </c>
      <c r="K18" s="593">
        <f>SUMIFS('Accounting data'!$G$2:$G$37003,'Accounting data'!$H$2:$H$37003,"1071*",'Accounting data'!$I$2:$I$37003,"260*",'Accounting data'!$J$2:$J$37003,"24*",'Accounting data'!$K$2:$K$37003,"66*")</f>
        <v>0</v>
      </c>
      <c r="L18" s="593">
        <f>SUMIFS('Accounting data'!$G$2:$G$37003,'Accounting data'!$H$2:$H$37003,"1071*",'Accounting data'!$I$2:$I$37003,"260*",'Accounting data'!$J$2:$J$37003,"24*",'Accounting data'!$K$2:$K$37003,"68*")</f>
        <v>0</v>
      </c>
      <c r="M18" s="591">
        <f>[3]!SEIP1071P260F2400</f>
        <v>0</v>
      </c>
      <c r="N18" s="593">
        <f t="shared" si="0"/>
        <v>0</v>
      </c>
      <c r="O18" s="203"/>
      <c r="P18" s="152">
        <v>8</v>
      </c>
    </row>
    <row r="19" spans="1:16" ht="12" customHeight="1" x14ac:dyDescent="0.25">
      <c r="A19" s="89"/>
      <c r="C19" t="s">
        <v>212</v>
      </c>
      <c r="E19" s="189">
        <v>9</v>
      </c>
      <c r="F19" s="201"/>
      <c r="G19" s="202"/>
      <c r="H19" s="593">
        <f>SUMIFS('Accounting data'!$G$2:$G$37003,'Accounting data'!$H$2:$H$37003,"1071*",'Accounting data'!$I$2:$I$37003,"260*",'Accounting data'!$J$2:$J$37003,"25*",'Accounting data'!$K$2:$K$37003,"61*")</f>
        <v>0</v>
      </c>
      <c r="I19" s="593">
        <f>SUMIFS('Accounting data'!$G$2:$G$37003,'Accounting data'!$H$2:$H$37003,"1071*",'Accounting data'!$I$2:$I$37003,"260*",'Accounting data'!$J$2:$J$37003,"25*",'Accounting data'!$K$2:$K$37003,"62*")</f>
        <v>0</v>
      </c>
      <c r="J19" s="593">
        <f>SUMIFS('Accounting data'!$G$2:$G$37003,'Accounting data'!$H$2:$H$37003,"1071*",'Accounting data'!$I$2:$I$37003,"260*",'Accounting data'!$J$2:$J$37003,"25*",'Accounting data'!$K$2:$K$37003,"63*")</f>
        <v>0</v>
      </c>
      <c r="K19" s="593">
        <f>SUMIFS('Accounting data'!$G$2:$G$37003,'Accounting data'!$H$2:$H$37003,"1071*",'Accounting data'!$I$2:$I$37003,"260*",'Accounting data'!$J$2:$J$37003,"25*",'Accounting data'!$K$2:$K$37003,"66*")</f>
        <v>0</v>
      </c>
      <c r="L19" s="593">
        <f>SUMIFS('Accounting data'!$G$2:$G$37003,'Accounting data'!$H$2:$H$37003,"1071*",'Accounting data'!$I$2:$I$37003,"260*",'Accounting data'!$J$2:$J$37003,"25*",'Accounting data'!$K$2:$K$37003,"68*")</f>
        <v>0</v>
      </c>
      <c r="M19" s="591">
        <f>[3]!SEIP1071P260F2500</f>
        <v>0</v>
      </c>
      <c r="N19" s="593">
        <f t="shared" si="0"/>
        <v>0</v>
      </c>
      <c r="O19" s="203"/>
      <c r="P19" s="152">
        <v>9</v>
      </c>
    </row>
    <row r="20" spans="1:16" ht="12" customHeight="1" x14ac:dyDescent="0.25">
      <c r="A20" s="89"/>
      <c r="C20" t="s">
        <v>213</v>
      </c>
      <c r="E20" s="189">
        <v>10</v>
      </c>
      <c r="F20" s="201"/>
      <c r="G20" s="202"/>
      <c r="H20" s="593">
        <f>SUMIFS('Accounting data'!$G$2:$G$37003,'Accounting data'!$H$2:$H$37003,"1071*",'Accounting data'!$I$2:$I$37003,"260*",'Accounting data'!$J$2:$J$37003,"26*",'Accounting data'!$K$2:$K$37003,"61*")</f>
        <v>0</v>
      </c>
      <c r="I20" s="593">
        <f>SUMIFS('Accounting data'!$G$2:$G$37003,'Accounting data'!$H$2:$H$37003,"1071*",'Accounting data'!$I$2:$I$37003,"260*",'Accounting data'!$J$2:$J$37003,"26*",'Accounting data'!$K$2:$K$37003,"62*")</f>
        <v>0</v>
      </c>
      <c r="J20" s="593">
        <f>SUMIFS('Accounting data'!$G$2:$G$37003,'Accounting data'!$H$2:$H$37003,"1071*",'Accounting data'!$I$2:$I$37003,"260*",'Accounting data'!$J$2:$J$37003,"26*",'Accounting data'!$K$2:$K$37003,"63*")</f>
        <v>0</v>
      </c>
      <c r="K20" s="593">
        <f>SUMIFS('Accounting data'!$G$2:$G$37003,'Accounting data'!$H$2:$H$37003,"1071*",'Accounting data'!$I$2:$I$37003,"260*",'Accounting data'!$J$2:$J$37003,"26*",'Accounting data'!$K$2:$K$37003,"66*")</f>
        <v>0</v>
      </c>
      <c r="L20" s="593">
        <f>SUMIFS('Accounting data'!$G$2:$G$37003,'Accounting data'!$H$2:$H$37003,"1071*",'Accounting data'!$I$2:$I$37003,"260*",'Accounting data'!$J$2:$J$37003,"26*",'Accounting data'!$K$2:$K$37003,"68*")</f>
        <v>0</v>
      </c>
      <c r="M20" s="591">
        <f>[3]!SEIP1071P260F2600</f>
        <v>0</v>
      </c>
      <c r="N20" s="593">
        <f t="shared" si="0"/>
        <v>0</v>
      </c>
      <c r="O20" s="203"/>
      <c r="P20" s="152">
        <v>10</v>
      </c>
    </row>
    <row r="21" spans="1:16" ht="12" customHeight="1" x14ac:dyDescent="0.25">
      <c r="A21" s="89"/>
      <c r="C21" t="s">
        <v>214</v>
      </c>
      <c r="E21" s="189">
        <v>11</v>
      </c>
      <c r="F21" s="201"/>
      <c r="G21" s="202"/>
      <c r="H21" s="593">
        <f>SUMIFS('Accounting data'!$G$2:$G$37003,'Accounting data'!$H$2:$H$37003,"1071*",'Accounting data'!$I$2:$I$37003,"260*",'Accounting data'!$J$2:$J$37003,"29*",'Accounting data'!$K$2:$K$37003,"61*")</f>
        <v>0</v>
      </c>
      <c r="I21" s="593">
        <f>SUMIFS('Accounting data'!$G$2:$G$37003,'Accounting data'!$H$2:$H$37003,"1071*",'Accounting data'!$I$2:$I$37003,"260*",'Accounting data'!$J$2:$J$37003,"29*",'Accounting data'!$K$2:$K$37003,"62*")</f>
        <v>0</v>
      </c>
      <c r="J21" s="593">
        <f>SUMIFS('Accounting data'!$G$2:$G$37003,'Accounting data'!$H$2:$H$37003,"1071*",'Accounting data'!$I$2:$I$37003,"260*",'Accounting data'!$J$2:$J$37003,"29*",'Accounting data'!$K$2:$K$37003,"63*")</f>
        <v>0</v>
      </c>
      <c r="K21" s="593">
        <f>SUMIFS('Accounting data'!$G$2:$G$37003,'Accounting data'!$H$2:$H$37003,"1071*",'Accounting data'!$I$2:$I$37003,"260*",'Accounting data'!$J$2:$J$37003,"29*",'Accounting data'!$K$2:$K$37003,"66*")</f>
        <v>0</v>
      </c>
      <c r="L21" s="593">
        <f>SUMIFS('Accounting data'!$G$2:$G$37003,'Accounting data'!$H$2:$H$37003,"1071*",'Accounting data'!$I$2:$I$37003,"260*",'Accounting data'!$J$2:$J$37003,"29*",'Accounting data'!$K$2:$K$37003,"68*")</f>
        <v>0</v>
      </c>
      <c r="M21" s="591">
        <f>[3]!SEIP1071P260F2900</f>
        <v>0</v>
      </c>
      <c r="N21" s="593">
        <f t="shared" si="0"/>
        <v>0</v>
      </c>
      <c r="O21" s="203"/>
      <c r="P21" s="152">
        <v>11</v>
      </c>
    </row>
    <row r="22" spans="1:16" ht="12" customHeight="1" x14ac:dyDescent="0.25">
      <c r="A22" s="93"/>
      <c r="B22" s="2" t="s">
        <v>215</v>
      </c>
      <c r="C22" s="2"/>
      <c r="D22" s="2"/>
      <c r="E22" s="185">
        <v>12</v>
      </c>
      <c r="F22" s="201"/>
      <c r="G22" s="204"/>
      <c r="H22" s="593">
        <f>SUM(H13:H21)</f>
        <v>0</v>
      </c>
      <c r="I22" s="593">
        <f t="shared" ref="I22:N22" si="1">SUM(I13:I21)</f>
        <v>0</v>
      </c>
      <c r="J22" s="593">
        <f>SUM(J13:J21)</f>
        <v>0</v>
      </c>
      <c r="K22" s="593">
        <f t="shared" si="1"/>
        <v>0</v>
      </c>
      <c r="L22" s="593">
        <f t="shared" si="1"/>
        <v>0</v>
      </c>
      <c r="M22" s="593">
        <f t="shared" si="1"/>
        <v>0</v>
      </c>
      <c r="N22" s="593">
        <f t="shared" si="1"/>
        <v>0</v>
      </c>
      <c r="O22" s="203"/>
      <c r="P22" s="205">
        <v>12</v>
      </c>
    </row>
    <row r="23" spans="1:16" ht="12" customHeight="1" x14ac:dyDescent="0.25">
      <c r="A23" s="89" t="s">
        <v>216</v>
      </c>
      <c r="E23" s="189"/>
      <c r="F23" s="193"/>
      <c r="G23" s="751"/>
      <c r="H23" s="83"/>
      <c r="I23" s="83"/>
      <c r="J23" s="83"/>
      <c r="K23" s="83"/>
      <c r="L23" s="83"/>
      <c r="M23" s="83"/>
      <c r="N23" s="83"/>
      <c r="O23" s="195"/>
      <c r="P23" s="152"/>
    </row>
    <row r="24" spans="1:16" ht="12" customHeight="1" x14ac:dyDescent="0.25">
      <c r="A24" s="89"/>
      <c r="B24" t="s">
        <v>207</v>
      </c>
      <c r="E24" s="189"/>
      <c r="F24" s="196"/>
      <c r="G24" s="752"/>
      <c r="H24" s="593"/>
      <c r="I24" s="657"/>
      <c r="J24" s="657"/>
      <c r="K24" s="657"/>
      <c r="L24" s="657"/>
      <c r="M24" s="657"/>
      <c r="N24" s="197"/>
      <c r="O24" s="198"/>
      <c r="P24" s="152"/>
    </row>
    <row r="25" spans="1:16" ht="12" customHeight="1" x14ac:dyDescent="0.25">
      <c r="A25" s="89"/>
      <c r="C25" t="s">
        <v>217</v>
      </c>
      <c r="E25" s="189">
        <v>13</v>
      </c>
      <c r="F25" s="199"/>
      <c r="G25" s="753"/>
      <c r="H25" s="657">
        <f>SUMIFS('Accounting data'!$G$2:$G$37003,'Accounting data'!$H$2:$H$37003,"1071*",'Accounting data'!$I$2:$I$37003,"43*",'Accounting data'!$J$2:$J$37003,"27*",'Accounting data'!$K$2:$K$37003,"61*")</f>
        <v>0</v>
      </c>
      <c r="I25" s="657">
        <f>SUMIFS('Accounting data'!$G$2:$G$37003,'Accounting data'!$H$2:$H$37003,"1071*",'Accounting data'!$I$2:$I$37003,"43*",'Accounting data'!$J$2:$J$37003,"27*",'Accounting data'!$K$2:$K$37003,"62*")</f>
        <v>0</v>
      </c>
      <c r="J25" s="657">
        <f>SUMIFS('Accounting data'!$G$2:$G$37003,'Accounting data'!$H$2:$H$37003,"1071*",'Accounting data'!$I$2:$I$37003,"43*",'Accounting data'!$J$2:$J$37003,"27*",'Accounting data'!$K$2:$K$37003,"63*")</f>
        <v>0</v>
      </c>
      <c r="K25" s="657">
        <f>SUMIFS('Accounting data'!$G$2:$G$37003,'Accounting data'!$H$2:$H$37003,"1071*",'Accounting data'!$I$2:$I$37003,"43*",'Accounting data'!$J$2:$J$37003,"27*",'Accounting data'!$K$2:$K$37003,"66*")</f>
        <v>0</v>
      </c>
      <c r="L25" s="657">
        <f>SUMIFS('Accounting data'!$G$2:$G$37003,'Accounting data'!$H$2:$H$37003,"1071*",'Accounting data'!$I$2:$I$37003,"43*",'Accounting data'!$J$2:$J$37003,"27*",'Accounting data'!$K$2:$K$37003,"68*")</f>
        <v>0</v>
      </c>
      <c r="M25" s="657">
        <f>[3]!SEIP1071P430F2700</f>
        <v>0</v>
      </c>
      <c r="N25" s="598">
        <f>SUM(H25:L25)</f>
        <v>0</v>
      </c>
      <c r="O25" s="200"/>
      <c r="P25" s="205">
        <v>13</v>
      </c>
    </row>
    <row r="26" spans="1:16" ht="12" customHeight="1" x14ac:dyDescent="0.25">
      <c r="A26" s="99" t="s">
        <v>218</v>
      </c>
      <c r="B26" s="100"/>
      <c r="C26" s="100"/>
      <c r="D26" s="100"/>
      <c r="E26" s="206">
        <v>14</v>
      </c>
      <c r="F26" s="591">
        <f>[1]!SEIP1071EndBal</f>
        <v>0</v>
      </c>
      <c r="G26" s="593">
        <f>G10</f>
        <v>0</v>
      </c>
      <c r="H26" s="593">
        <f>SUM(H22:H24)</f>
        <v>0</v>
      </c>
      <c r="I26" s="593">
        <f>SUM(I22:I24)</f>
        <v>0</v>
      </c>
      <c r="J26" s="593">
        <f>SUM(J22:J24)</f>
        <v>0</v>
      </c>
      <c r="K26" s="593">
        <f>SUM(K22:K24)</f>
        <v>0</v>
      </c>
      <c r="L26" s="593">
        <f>SUM(L22:L24)</f>
        <v>0</v>
      </c>
      <c r="M26" s="593">
        <f>SUM(M22:M25)</f>
        <v>0</v>
      </c>
      <c r="N26" s="593">
        <f>SUM(N22:N25)</f>
        <v>0</v>
      </c>
      <c r="O26" s="593">
        <f>F26+G26-N26</f>
        <v>0</v>
      </c>
      <c r="P26" s="205">
        <v>14</v>
      </c>
    </row>
    <row r="27" spans="1:16" ht="9" customHeight="1" x14ac:dyDescent="0.25">
      <c r="A27" s="742"/>
      <c r="B27" s="742"/>
      <c r="C27" s="742"/>
      <c r="D27" s="742"/>
      <c r="E27" s="742"/>
      <c r="F27" s="742"/>
      <c r="G27" s="742"/>
      <c r="H27" s="742"/>
      <c r="I27" s="742"/>
      <c r="J27" s="743"/>
      <c r="K27" s="743"/>
      <c r="L27" s="743"/>
    </row>
    <row r="28" spans="1:16" ht="11.25" customHeight="1" x14ac:dyDescent="0.25">
      <c r="A28" s="87" t="s">
        <v>219</v>
      </c>
      <c r="B28" s="72"/>
      <c r="C28" s="72"/>
      <c r="D28" s="72"/>
      <c r="E28" s="207"/>
      <c r="F28" s="746"/>
      <c r="G28" s="746"/>
      <c r="H28" s="746"/>
      <c r="I28" s="746"/>
      <c r="J28" s="746"/>
      <c r="K28" s="746"/>
      <c r="L28" s="754"/>
      <c r="M28" s="754"/>
      <c r="N28" s="754"/>
      <c r="O28" s="746"/>
    </row>
    <row r="29" spans="1:16" ht="11.25" customHeight="1" x14ac:dyDescent="0.25">
      <c r="A29" s="117" t="s">
        <v>168</v>
      </c>
      <c r="E29" s="189"/>
      <c r="F29" s="747"/>
      <c r="G29" s="757"/>
      <c r="H29" s="757"/>
      <c r="I29" s="757"/>
      <c r="J29" s="757"/>
      <c r="K29" s="757"/>
      <c r="L29" s="754"/>
      <c r="M29" s="754"/>
      <c r="N29" s="754"/>
      <c r="O29" s="747"/>
    </row>
    <row r="30" spans="1:16" ht="12" customHeight="1" x14ac:dyDescent="0.25">
      <c r="A30" s="117"/>
      <c r="B30" t="s">
        <v>202</v>
      </c>
      <c r="E30" s="189">
        <v>15</v>
      </c>
      <c r="F30" s="190"/>
      <c r="G30" s="593">
        <f>-(SUMIFS('Accounting data'!$G$2:$G$37003,'Accounting data'!$H$2:$H$37003,"1072*",'Accounting data'!$K$2:$K$37003,"32*"))</f>
        <v>0</v>
      </c>
      <c r="H30" s="190"/>
      <c r="I30" s="190"/>
      <c r="J30" s="190"/>
      <c r="K30" s="190"/>
      <c r="L30" s="208"/>
      <c r="M30" s="190"/>
      <c r="N30" s="190"/>
      <c r="O30" s="190"/>
      <c r="P30" s="205">
        <v>15</v>
      </c>
    </row>
    <row r="31" spans="1:16" ht="12" customHeight="1" x14ac:dyDescent="0.25">
      <c r="A31" s="117"/>
      <c r="B31" t="s">
        <v>203</v>
      </c>
      <c r="E31" s="189">
        <v>16</v>
      </c>
      <c r="F31" s="190"/>
      <c r="G31" s="593">
        <f>-(SUMIFS('Accounting data'!$G$2:$G$37003,'Accounting data'!$H$2:$H$37003,"1072*",'Accounting data'!$K$2:$K$37003,"15*"))</f>
        <v>0</v>
      </c>
      <c r="H31" s="190"/>
      <c r="I31" s="190"/>
      <c r="J31" s="190"/>
      <c r="K31" s="190"/>
      <c r="L31" s="190"/>
      <c r="M31" s="190"/>
      <c r="N31" s="190"/>
      <c r="O31" s="190"/>
      <c r="P31" s="205">
        <v>16</v>
      </c>
    </row>
    <row r="32" spans="1:16" ht="12" customHeight="1" x14ac:dyDescent="0.25">
      <c r="A32" s="89" t="s">
        <v>220</v>
      </c>
      <c r="E32" s="189">
        <v>17</v>
      </c>
      <c r="F32" s="191"/>
      <c r="G32" s="593">
        <f>SUM(G30:G31)</f>
        <v>0</v>
      </c>
      <c r="H32" s="191"/>
      <c r="I32" s="191"/>
      <c r="J32" s="191"/>
      <c r="K32" s="191"/>
      <c r="L32" s="191"/>
      <c r="M32" s="191"/>
      <c r="N32" s="191"/>
      <c r="O32" s="191"/>
      <c r="P32" s="205">
        <v>17</v>
      </c>
    </row>
    <row r="33" spans="1:16" ht="11.25" customHeight="1" x14ac:dyDescent="0.25">
      <c r="A33" s="117" t="s">
        <v>92</v>
      </c>
      <c r="E33" s="192"/>
      <c r="F33" s="193"/>
      <c r="G33" s="209"/>
      <c r="H33" s="149"/>
      <c r="I33" s="149"/>
      <c r="J33" s="149"/>
      <c r="K33" s="149"/>
      <c r="L33" s="149"/>
      <c r="M33" s="149"/>
      <c r="N33" s="149"/>
      <c r="O33" s="193"/>
    </row>
    <row r="34" spans="1:16" ht="12" customHeight="1" x14ac:dyDescent="0.25">
      <c r="A34" s="89" t="s">
        <v>221</v>
      </c>
      <c r="E34" s="192"/>
      <c r="F34" s="196"/>
      <c r="G34" s="210"/>
      <c r="H34" s="197"/>
      <c r="I34" s="197"/>
      <c r="J34" s="197"/>
      <c r="K34" s="197"/>
      <c r="L34" s="197"/>
      <c r="M34" s="197"/>
      <c r="N34" s="197"/>
      <c r="O34" s="196"/>
    </row>
    <row r="35" spans="1:16" ht="12" customHeight="1" x14ac:dyDescent="0.25">
      <c r="A35" s="89"/>
      <c r="B35" t="s">
        <v>206</v>
      </c>
      <c r="E35" s="192">
        <v>18</v>
      </c>
      <c r="F35" s="199"/>
      <c r="G35" s="211"/>
      <c r="H35" s="598">
        <f>SUMIFS('Accounting data'!$G$2:$G$37003,'Accounting data'!$H$2:$H$37003,"1072*",'Accounting data'!$I$2:$I$37003,"265*",'Accounting data'!$J$2:$J$37003,"1*",'Accounting data'!$K$2:$K$37003,"61*")</f>
        <v>0</v>
      </c>
      <c r="I35" s="598">
        <f>SUMIFS('Accounting data'!$G$2:$G$37003,'Accounting data'!$H$2:$H$37003,"1072*",'Accounting data'!$I$2:$I$37003,"265*",'Accounting data'!$J$2:$J$37003,"1*",'Accounting data'!$K$2:$K$37003,"62*")</f>
        <v>0</v>
      </c>
      <c r="J35" s="598">
        <f>SUMIFS('Accounting data'!$G$2:$G$37003,'Accounting data'!$H$2:$H$37003,"1072*",'Accounting data'!$I$2:$I$37003,"265*",'Accounting data'!$J$2:$J$37003,"1*",'Accounting data'!$K$2:$K$37003,"63*")</f>
        <v>0</v>
      </c>
      <c r="K35" s="598">
        <f>SUMIFS('Accounting data'!$G$2:$G$37003,'Accounting data'!$H$2:$H$37003,"1072*",'Accounting data'!$I$2:$I$37003,"265*",'Accounting data'!$J$2:$J$37003,"1*",'Accounting data'!$K$2:$K$37003,"66*")</f>
        <v>0</v>
      </c>
      <c r="L35" s="598">
        <f>SUMIFS('Accounting data'!$G$2:$G$37003,'Accounting data'!$H$2:$H$37003,"1072*",'Accounting data'!$I$2:$I$37003,"265*",'Accounting data'!$J$2:$J$37003,"1*",'Accounting data'!$K$2:$K$37003,"68*")</f>
        <v>0</v>
      </c>
      <c r="M35" s="598">
        <f>[3]!CIP1072P265F1000</f>
        <v>0</v>
      </c>
      <c r="N35" s="598">
        <f>SUM(H35:L35)</f>
        <v>0</v>
      </c>
      <c r="O35" s="199"/>
      <c r="P35" s="205">
        <v>18</v>
      </c>
    </row>
    <row r="36" spans="1:16" ht="12" customHeight="1" x14ac:dyDescent="0.25">
      <c r="A36" s="89"/>
      <c r="B36" t="s">
        <v>207</v>
      </c>
      <c r="E36" s="189"/>
      <c r="F36" s="193"/>
      <c r="G36" s="752"/>
      <c r="H36" s="194"/>
      <c r="I36" s="194"/>
      <c r="J36" s="194"/>
      <c r="K36" s="194"/>
      <c r="L36" s="194"/>
      <c r="M36" s="194"/>
      <c r="N36" s="194"/>
      <c r="O36" s="193"/>
      <c r="P36" s="205"/>
    </row>
    <row r="37" spans="1:16" ht="12" customHeight="1" x14ac:dyDescent="0.25">
      <c r="A37" s="89"/>
      <c r="C37" t="s">
        <v>208</v>
      </c>
      <c r="E37" s="189">
        <v>19</v>
      </c>
      <c r="F37" s="199"/>
      <c r="G37" s="752"/>
      <c r="H37" s="598">
        <f>SUMIFS('Accounting data'!$G$2:$G$37003,'Accounting data'!$H$2:$H$37003,"1072*",'Accounting data'!$I$2:$I$37003,"265*",'Accounting data'!$J$2:$J$37003,"21*",'Accounting data'!$K$2:$K$37003,"61*")</f>
        <v>0</v>
      </c>
      <c r="I37" s="598">
        <f>SUMIFS('Accounting data'!$G$2:$G$37003,'Accounting data'!$H$2:$H$37003,"1072*",'Accounting data'!$I$2:$I$37003,"265*",'Accounting data'!$J$2:$J$37003,"21*",'Accounting data'!$K$2:$K$37003,"62*")</f>
        <v>0</v>
      </c>
      <c r="J37" s="598">
        <f>SUMIFS('Accounting data'!$G$2:$G$37003,'Accounting data'!$H$2:$H$37003,"1072*",'Accounting data'!$I$2:$I$37003,"265*",'Accounting data'!$J$2:$J$37003,"21*",'Accounting data'!$K$2:$K$37003,"63*")</f>
        <v>0</v>
      </c>
      <c r="K37" s="598">
        <f>SUMIFS('Accounting data'!$G$2:$G$37003,'Accounting data'!$H$2:$H$37003,"1072*",'Accounting data'!$I$2:$I$37003,"265*",'Accounting data'!$J$2:$J$37003,"21*",'Accounting data'!$K$2:$K$37003,"66*")</f>
        <v>0</v>
      </c>
      <c r="L37" s="598">
        <f>SUMIFS('Accounting data'!$G$2:$G$37003,'Accounting data'!$H$2:$H$37003,"1072*",'Accounting data'!$I$2:$I$37003,"265*",'Accounting data'!$J$2:$J$37003,"21*",'Accounting data'!$K$2:$K$37003,"68*")</f>
        <v>0</v>
      </c>
      <c r="M37" s="598">
        <f>[3]!CIP1072P265F2100</f>
        <v>0</v>
      </c>
      <c r="N37" s="598">
        <f>SUM(H37:L37)</f>
        <v>0</v>
      </c>
      <c r="O37" s="199"/>
      <c r="P37" s="205">
        <v>19</v>
      </c>
    </row>
    <row r="38" spans="1:16" ht="12" customHeight="1" x14ac:dyDescent="0.25">
      <c r="A38" s="89"/>
      <c r="C38" t="s">
        <v>209</v>
      </c>
      <c r="E38" s="189">
        <v>20</v>
      </c>
      <c r="F38" s="201"/>
      <c r="G38" s="202"/>
      <c r="H38" s="593">
        <f>SUMIFS('Accounting data'!$G$2:$G$37003,'Accounting data'!$H$2:$H$37003,"1072*",'Accounting data'!$I$2:$I$37003,"265*",'Accounting data'!$J$2:$J$37003,"22*",'Accounting data'!$K$2:$K$37003,"61*")</f>
        <v>0</v>
      </c>
      <c r="I38" s="593">
        <f>SUMIFS('Accounting data'!$G$2:$G$37003,'Accounting data'!$H$2:$H$37003,"1072*",'Accounting data'!$I$2:$I$37003,"265*",'Accounting data'!$J$2:$J$37003,"22*",'Accounting data'!$K$2:$K$37003,"62*")</f>
        <v>0</v>
      </c>
      <c r="J38" s="593">
        <f>SUMIFS('Accounting data'!$G$2:$G$37003,'Accounting data'!$H$2:$H$37003,"1072*",'Accounting data'!$I$2:$I$37003,"265*",'Accounting data'!$J$2:$J$37003,"22*",'Accounting data'!$K$2:$K$37003,"63*")</f>
        <v>0</v>
      </c>
      <c r="K38" s="593">
        <f>SUMIFS('Accounting data'!$G$2:$G$37003,'Accounting data'!$H$2:$H$37003,"1072*",'Accounting data'!$I$2:$I$37003,"265*",'Accounting data'!$J$2:$J$37003,"22*",'Accounting data'!$K$2:$K$37003,"66*")</f>
        <v>0</v>
      </c>
      <c r="L38" s="593">
        <f>SUMIFS('Accounting data'!$G$2:$G$37003,'Accounting data'!$H$2:$H$37003,"1072*",'Accounting data'!$I$2:$I$37003,"265*",'Accounting data'!$J$2:$J$37003,"22*",'Accounting data'!$K$2:$K$37003,"68*")</f>
        <v>0</v>
      </c>
      <c r="M38" s="591">
        <f>[3]!CIP1072P265F2200</f>
        <v>0</v>
      </c>
      <c r="N38" s="593">
        <f t="shared" ref="N38:N43" si="2">SUM(H38:L38)</f>
        <v>0</v>
      </c>
      <c r="O38" s="201"/>
      <c r="P38" s="205">
        <v>20</v>
      </c>
    </row>
    <row r="39" spans="1:16" ht="12" customHeight="1" x14ac:dyDescent="0.25">
      <c r="A39" s="89"/>
      <c r="C39" t="s">
        <v>210</v>
      </c>
      <c r="E39" s="189">
        <v>21</v>
      </c>
      <c r="F39" s="201"/>
      <c r="G39" s="202"/>
      <c r="H39" s="593">
        <f>SUMIFS('Accounting data'!$G$2:$G$37003,'Accounting data'!$H$2:$H$37003,"1072*",'Accounting data'!$I$2:$I$37003,"265*",'Accounting data'!$J$2:$J$37003,"23*",'Accounting data'!$K$2:$K$37003,"61*")</f>
        <v>0</v>
      </c>
      <c r="I39" s="593">
        <f>SUMIFS('Accounting data'!$G$2:$G$37003,'Accounting data'!$H$2:$H$37003,"1072*",'Accounting data'!$I$2:$I$37003,"265*",'Accounting data'!$J$2:$J$37003,"23*",'Accounting data'!$K$2:$K$37003,"62*")</f>
        <v>0</v>
      </c>
      <c r="J39" s="593">
        <f>SUMIFS('Accounting data'!$G$2:$G$37003,'Accounting data'!$H$2:$H$37003,"1072*",'Accounting data'!$I$2:$I$37003,"265*",'Accounting data'!$J$2:$J$37003,"23*",'Accounting data'!$K$2:$K$37003,"63*")</f>
        <v>0</v>
      </c>
      <c r="K39" s="593">
        <f>SUMIFS('Accounting data'!$G$2:$G$37003,'Accounting data'!$H$2:$H$37003,"1072*",'Accounting data'!$I$2:$I$37003,"265*",'Accounting data'!$J$2:$J$37003,"23*",'Accounting data'!$K$2:$K$37003,"66*")</f>
        <v>0</v>
      </c>
      <c r="L39" s="593">
        <f>SUMIFS('Accounting data'!$G$2:$G$37003,'Accounting data'!$H$2:$H$37003,"1072*",'Accounting data'!$I$2:$I$37003,"265*",'Accounting data'!$J$2:$J$37003,"23*",'Accounting data'!$K$2:$K$37003,"68*")</f>
        <v>0</v>
      </c>
      <c r="M39" s="591">
        <f>[3]!CIP1072P265F2300</f>
        <v>0</v>
      </c>
      <c r="N39" s="593">
        <f t="shared" si="2"/>
        <v>0</v>
      </c>
      <c r="O39" s="201"/>
      <c r="P39" s="205">
        <v>21</v>
      </c>
    </row>
    <row r="40" spans="1:16" ht="12" customHeight="1" x14ac:dyDescent="0.25">
      <c r="A40" s="89"/>
      <c r="C40" t="s">
        <v>211</v>
      </c>
      <c r="E40" s="189">
        <v>22</v>
      </c>
      <c r="F40" s="201"/>
      <c r="G40" s="202"/>
      <c r="H40" s="593">
        <f>SUMIFS('Accounting data'!$G$2:$G$37003,'Accounting data'!$H$2:$H$37003,"1072*",'Accounting data'!$I$2:$I$37003,"265*",'Accounting data'!$J$2:$J$37003,"24*",'Accounting data'!$K$2:$K$37003,"61*")</f>
        <v>0</v>
      </c>
      <c r="I40" s="593">
        <f>SUMIFS('Accounting data'!$G$2:$G$37003,'Accounting data'!$H$2:$H$37003,"1072*",'Accounting data'!$I$2:$I$37003,"265*",'Accounting data'!$J$2:$J$37003,"24*",'Accounting data'!$K$2:$K$37003,"62*")</f>
        <v>0</v>
      </c>
      <c r="J40" s="593">
        <f>SUMIFS('Accounting data'!$G$2:$G$37003,'Accounting data'!$H$2:$H$37003,"1072*",'Accounting data'!$I$2:$I$37003,"265*",'Accounting data'!$J$2:$J$37003,"24*",'Accounting data'!$K$2:$K$37003,"63*")</f>
        <v>0</v>
      </c>
      <c r="K40" s="593">
        <f>SUMIFS('Accounting data'!$G$2:$G$37003,'Accounting data'!$H$2:$H$37003,"1072*",'Accounting data'!$I$2:$I$37003,"265*",'Accounting data'!$J$2:$J$37003,"24*",'Accounting data'!$K$2:$K$37003,"66*")</f>
        <v>0</v>
      </c>
      <c r="L40" s="593">
        <f>SUMIFS('Accounting data'!$G$2:$G$37003,'Accounting data'!$H$2:$H$37003,"1072*",'Accounting data'!$I$2:$I$37003,"265*",'Accounting data'!$J$2:$J$37003,"24*",'Accounting data'!$K$2:$K$37003,"68*")</f>
        <v>0</v>
      </c>
      <c r="M40" s="591">
        <f>[3]!CIP1072P265F2400</f>
        <v>0</v>
      </c>
      <c r="N40" s="593">
        <f t="shared" si="2"/>
        <v>0</v>
      </c>
      <c r="O40" s="201"/>
      <c r="P40" s="205">
        <v>22</v>
      </c>
    </row>
    <row r="41" spans="1:16" ht="12" customHeight="1" x14ac:dyDescent="0.25">
      <c r="A41" s="89"/>
      <c r="C41" t="s">
        <v>212</v>
      </c>
      <c r="E41" s="189">
        <v>23</v>
      </c>
      <c r="F41" s="201"/>
      <c r="G41" s="202"/>
      <c r="H41" s="593">
        <f>SUMIFS('Accounting data'!$G$2:$G$37003,'Accounting data'!$H$2:$H$37003,"1072*",'Accounting data'!$I$2:$I$37003,"265*",'Accounting data'!$J$2:$J$37003,"25*",'Accounting data'!$K$2:$K$37003,"61*")</f>
        <v>0</v>
      </c>
      <c r="I41" s="593">
        <f>SUMIFS('Accounting data'!$G$2:$G$37003,'Accounting data'!$H$2:$H$37003,"1072*",'Accounting data'!$I$2:$I$37003,"265*",'Accounting data'!$J$2:$J$37003,"25*",'Accounting data'!$K$2:$K$37003,"62*")</f>
        <v>0</v>
      </c>
      <c r="J41" s="593">
        <f>SUMIFS('Accounting data'!$G$2:$G$37003,'Accounting data'!$H$2:$H$37003,"1072*",'Accounting data'!$I$2:$I$37003,"265*",'Accounting data'!$J$2:$J$37003,"25*",'Accounting data'!$K$2:$K$37003,"63*")</f>
        <v>0</v>
      </c>
      <c r="K41" s="593">
        <f>SUMIFS('Accounting data'!$G$2:$G$37003,'Accounting data'!$H$2:$H$37003,"1072*",'Accounting data'!$I$2:$I$37003,"265*",'Accounting data'!$J$2:$J$37003,"25*",'Accounting data'!$K$2:$K$37003,"66*")</f>
        <v>0</v>
      </c>
      <c r="L41" s="593">
        <f>SUMIFS('Accounting data'!$G$2:$G$37003,'Accounting data'!$H$2:$H$37003,"1072*",'Accounting data'!$I$2:$I$37003,"265*",'Accounting data'!$J$2:$J$37003,"25*",'Accounting data'!$K$2:$K$37003,"68*")</f>
        <v>0</v>
      </c>
      <c r="M41" s="591">
        <f>[3]!CIP1072P265F2500</f>
        <v>0</v>
      </c>
      <c r="N41" s="593">
        <f t="shared" si="2"/>
        <v>0</v>
      </c>
      <c r="O41" s="201"/>
      <c r="P41" s="205">
        <v>23</v>
      </c>
    </row>
    <row r="42" spans="1:16" ht="12" customHeight="1" x14ac:dyDescent="0.25">
      <c r="A42" s="89"/>
      <c r="C42" t="s">
        <v>213</v>
      </c>
      <c r="E42" s="189">
        <v>24</v>
      </c>
      <c r="F42" s="201"/>
      <c r="G42" s="202"/>
      <c r="H42" s="593">
        <f>SUMIFS('Accounting data'!$G$2:$G$37003,'Accounting data'!$H$2:$H$37003,"1072*",'Accounting data'!$I$2:$I$37003,"265*",'Accounting data'!$J$2:$J$37003,"26*",'Accounting data'!$K$2:$K$37003,"61*")</f>
        <v>0</v>
      </c>
      <c r="I42" s="593">
        <f>SUMIFS('Accounting data'!$G$2:$G$37003,'Accounting data'!$H$2:$H$37003,"1072*",'Accounting data'!$I$2:$I$37003,"265*",'Accounting data'!$J$2:$J$37003,"26*",'Accounting data'!$K$2:$K$37003,"62*")</f>
        <v>0</v>
      </c>
      <c r="J42" s="593">
        <f>SUMIFS('Accounting data'!$G$2:$G$37003,'Accounting data'!$H$2:$H$37003,"1072*",'Accounting data'!$I$2:$I$37003,"265*",'Accounting data'!$J$2:$J$37003,"26*",'Accounting data'!$K$2:$K$37003,"63*")</f>
        <v>0</v>
      </c>
      <c r="K42" s="593">
        <f>SUMIFS('Accounting data'!$G$2:$G$37003,'Accounting data'!$H$2:$H$37003,"1072*",'Accounting data'!$I$2:$I$37003,"265*",'Accounting data'!$J$2:$J$37003,"26*",'Accounting data'!$K$2:$K$37003,"66*")</f>
        <v>0</v>
      </c>
      <c r="L42" s="593">
        <f>SUMIFS('Accounting data'!$G$2:$G$37003,'Accounting data'!$H$2:$H$37003,"1072*",'Accounting data'!$I$2:$I$37003,"265*",'Accounting data'!$J$2:$J$37003,"26*",'Accounting data'!$K$2:$K$37003,"68*")</f>
        <v>0</v>
      </c>
      <c r="M42" s="591">
        <f>[3]!CIP1072P265F2600</f>
        <v>0</v>
      </c>
      <c r="N42" s="593">
        <f t="shared" si="2"/>
        <v>0</v>
      </c>
      <c r="O42" s="201"/>
      <c r="P42" s="205">
        <v>24</v>
      </c>
    </row>
    <row r="43" spans="1:16" ht="12" customHeight="1" x14ac:dyDescent="0.25">
      <c r="A43" s="89"/>
      <c r="C43" t="s">
        <v>214</v>
      </c>
      <c r="E43" s="189">
        <v>25</v>
      </c>
      <c r="F43" s="201"/>
      <c r="G43" s="202"/>
      <c r="H43" s="593">
        <f>SUMIFS('Accounting data'!$G$2:$G$37003,'Accounting data'!$H$2:$H$37003,"1072*",'Accounting data'!$I$2:$I$37003,"265*",'Accounting data'!$J$2:$J$37003,"29*",'Accounting data'!$K$2:$K$37003,"61*")</f>
        <v>0</v>
      </c>
      <c r="I43" s="593">
        <f>SUMIFS('Accounting data'!$G$2:$G$37003,'Accounting data'!$H$2:$H$37003,"1072*",'Accounting data'!$I$2:$I$37003,"265*",'Accounting data'!$J$2:$J$37003,"29*",'Accounting data'!$K$2:$K$37003,"62*")</f>
        <v>0</v>
      </c>
      <c r="J43" s="593">
        <f>SUMIFS('Accounting data'!$G$2:$G$37003,'Accounting data'!$H$2:$H$37003,"1072*",'Accounting data'!$I$2:$I$37003,"265*",'Accounting data'!$J$2:$J$37003,"29*",'Accounting data'!$K$2:$K$37003,"63*")</f>
        <v>0</v>
      </c>
      <c r="K43" s="593">
        <f>SUMIFS('Accounting data'!$G$2:$G$37003,'Accounting data'!$H$2:$H$37003,"1072*",'Accounting data'!$I$2:$I$37003,"265*",'Accounting data'!$J$2:$J$37003,"29*",'Accounting data'!$K$2:$K$37003,"66*")</f>
        <v>0</v>
      </c>
      <c r="L43" s="593">
        <f>SUMIFS('Accounting data'!$G$2:$G$37003,'Accounting data'!$H$2:$H$37003,"1072*",'Accounting data'!$I$2:$I$37003,"265*",'Accounting data'!$J$2:$J$37003,"29*",'Accounting data'!$K$2:$K$37003,"68*")</f>
        <v>0</v>
      </c>
      <c r="M43" s="591">
        <f>[3]!CIP1072P265F2900</f>
        <v>0</v>
      </c>
      <c r="N43" s="593">
        <f t="shared" si="2"/>
        <v>0</v>
      </c>
      <c r="O43" s="201"/>
      <c r="P43" s="205">
        <v>25</v>
      </c>
    </row>
    <row r="44" spans="1:16" ht="12" customHeight="1" x14ac:dyDescent="0.25">
      <c r="A44" s="93"/>
      <c r="B44" s="2" t="s">
        <v>222</v>
      </c>
      <c r="C44" s="2"/>
      <c r="D44" s="2"/>
      <c r="E44" s="185">
        <v>26</v>
      </c>
      <c r="F44" s="201"/>
      <c r="G44" s="202"/>
      <c r="H44" s="212">
        <f>SUM(H35:H43)</f>
        <v>0</v>
      </c>
      <c r="I44" s="212">
        <f t="shared" ref="I44:L44" si="3">SUM(I35:I43)</f>
        <v>0</v>
      </c>
      <c r="J44" s="212">
        <f>SUM(J35:J43)</f>
        <v>0</v>
      </c>
      <c r="K44" s="212">
        <f>SUM(K35:K43)</f>
        <v>0</v>
      </c>
      <c r="L44" s="212">
        <f t="shared" si="3"/>
        <v>0</v>
      </c>
      <c r="M44" s="212">
        <f>SUM(M35:M43)</f>
        <v>0</v>
      </c>
      <c r="N44" s="212">
        <f>SUM(N35:N43)</f>
        <v>0</v>
      </c>
      <c r="O44" s="201"/>
      <c r="P44" s="205">
        <v>26</v>
      </c>
    </row>
    <row r="45" spans="1:16" ht="12" customHeight="1" x14ac:dyDescent="0.25">
      <c r="A45" s="89" t="s">
        <v>223</v>
      </c>
      <c r="E45" s="189"/>
      <c r="F45" s="193"/>
      <c r="G45" s="751"/>
      <c r="H45" s="149"/>
      <c r="I45" s="149"/>
      <c r="J45" s="149"/>
      <c r="K45" s="149"/>
      <c r="L45" s="149"/>
      <c r="M45" s="149"/>
      <c r="N45" s="149"/>
      <c r="O45" s="193"/>
      <c r="P45" s="205"/>
    </row>
    <row r="46" spans="1:16" ht="12" customHeight="1" x14ac:dyDescent="0.25">
      <c r="A46" s="89"/>
      <c r="B46" t="s">
        <v>207</v>
      </c>
      <c r="E46" s="189"/>
      <c r="F46" s="196"/>
      <c r="G46" s="752"/>
      <c r="H46" s="197"/>
      <c r="I46" s="197"/>
      <c r="J46" s="197"/>
      <c r="K46" s="197"/>
      <c r="L46" s="197"/>
      <c r="M46" s="197"/>
      <c r="N46" s="197"/>
      <c r="O46" s="196"/>
      <c r="P46" s="205"/>
    </row>
    <row r="47" spans="1:16" ht="12" customHeight="1" x14ac:dyDescent="0.25">
      <c r="A47" s="89"/>
      <c r="C47" t="s">
        <v>217</v>
      </c>
      <c r="E47" s="189">
        <v>27</v>
      </c>
      <c r="F47" s="196"/>
      <c r="G47" s="752"/>
      <c r="H47" s="598">
        <f>SUMIFS('Accounting data'!$G$2:$G$37003,'Accounting data'!$H$2:$H$37003,"1072*",'Accounting data'!$I$2:$I$37003,"435*",'Accounting data'!$J$2:$J$37003,"27*",'Accounting data'!$K$2:$K$37003,"61*")</f>
        <v>0</v>
      </c>
      <c r="I47" s="598">
        <f>SUMIFS('Accounting data'!$G$2:$G$37003,'Accounting data'!$H$2:$H$37003,"1072*",'Accounting data'!$I$2:$I$37003,"435*",'Accounting data'!$J$2:$J$37003,"27*",'Accounting data'!$K$2:$K$37003,"62*")</f>
        <v>0</v>
      </c>
      <c r="J47" s="598">
        <f>SUMIFS('Accounting data'!$G$2:$G$37003,'Accounting data'!$H$2:$H$37003,"1072*",'Accounting data'!$I$2:$I$37003,"435*",'Accounting data'!$J$2:$J$37003,"27*",'Accounting data'!$K$2:$K$37003,"63*")</f>
        <v>0</v>
      </c>
      <c r="K47" s="598">
        <f>SUMIFS('Accounting data'!$G$2:$G$37003,'Accounting data'!$H$2:$H$37003,"1072*",'Accounting data'!$I$2:$I$37003,"435*",'Accounting data'!$J$2:$J$37003,"27*",'Accounting data'!$K$2:$K$37003,"66*")</f>
        <v>0</v>
      </c>
      <c r="L47" s="598">
        <f>SUMIFS('Accounting data'!$G$2:$G$37003,'Accounting data'!$H$2:$H$37003,"1072*",'Accounting data'!$I$2:$I$37003,"435*",'Accounting data'!$J$2:$J$37003,"27*",'Accounting data'!$K$2:$K$37003,"68*")</f>
        <v>0</v>
      </c>
      <c r="M47" s="598">
        <f>[3]!CIP1072P435F2700</f>
        <v>0</v>
      </c>
      <c r="N47" s="598">
        <f>SUM(H47:L47)</f>
        <v>0</v>
      </c>
      <c r="O47" s="196"/>
      <c r="P47" s="205">
        <v>27</v>
      </c>
    </row>
    <row r="48" spans="1:16" ht="12" customHeight="1" x14ac:dyDescent="0.25">
      <c r="A48" s="99" t="s">
        <v>224</v>
      </c>
      <c r="B48" s="100"/>
      <c r="C48" s="100"/>
      <c r="D48" s="100"/>
      <c r="E48" s="206">
        <v>28</v>
      </c>
      <c r="F48" s="591">
        <f>[1]!CIP1072EndBal</f>
        <v>0</v>
      </c>
      <c r="G48" s="593">
        <f>G32</f>
        <v>0</v>
      </c>
      <c r="H48" s="598">
        <f t="shared" ref="H48:L48" si="4">SUM(H44:H47)</f>
        <v>0</v>
      </c>
      <c r="I48" s="598">
        <f t="shared" si="4"/>
        <v>0</v>
      </c>
      <c r="J48" s="598">
        <f t="shared" si="4"/>
        <v>0</v>
      </c>
      <c r="K48" s="598">
        <f t="shared" si="4"/>
        <v>0</v>
      </c>
      <c r="L48" s="598">
        <f t="shared" si="4"/>
        <v>0</v>
      </c>
      <c r="M48" s="593">
        <f>SUM(M44:M47)</f>
        <v>0</v>
      </c>
      <c r="N48" s="593">
        <f>SUM(N44:N47)</f>
        <v>0</v>
      </c>
      <c r="O48" s="593">
        <f>F48+G48-N48</f>
        <v>0</v>
      </c>
      <c r="P48" s="205">
        <v>28</v>
      </c>
    </row>
  </sheetData>
  <sheetProtection formatCells="0" formatColumns="0" formatRows="0"/>
  <mergeCells count="30">
    <mergeCell ref="G45:G47"/>
    <mergeCell ref="M28:M29"/>
    <mergeCell ref="N28:N29"/>
    <mergeCell ref="O28:O29"/>
    <mergeCell ref="N14:N15"/>
    <mergeCell ref="G28:G29"/>
    <mergeCell ref="G36:G37"/>
    <mergeCell ref="H28:H29"/>
    <mergeCell ref="I28:I29"/>
    <mergeCell ref="J28:J29"/>
    <mergeCell ref="K28:K29"/>
    <mergeCell ref="L28:L29"/>
    <mergeCell ref="O6:O7"/>
    <mergeCell ref="G11:G13"/>
    <mergeCell ref="G23:G25"/>
    <mergeCell ref="G14:G15"/>
    <mergeCell ref="G6:G7"/>
    <mergeCell ref="K6:K7"/>
    <mergeCell ref="L6:L7"/>
    <mergeCell ref="F28:F29"/>
    <mergeCell ref="F6:F7"/>
    <mergeCell ref="M3:N3"/>
    <mergeCell ref="M14:M15"/>
    <mergeCell ref="M6:M7"/>
    <mergeCell ref="D1:E1"/>
    <mergeCell ref="J1:K1"/>
    <mergeCell ref="A27:L27"/>
    <mergeCell ref="H6:H7"/>
    <mergeCell ref="I6:I7"/>
    <mergeCell ref="J6:J7"/>
  </mergeCells>
  <pageMargins left="0.75" right="0.25" top="0.25" bottom="0.25" header="0.5" footer="0.15"/>
  <pageSetup paperSize="5" orientation="landscape" r:id="rId1"/>
  <headerFooter>
    <oddFooter>&amp;LRev. 8/24 Arizona Department of Education and Auditor General&amp;CFY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A41"/>
  <sheetViews>
    <sheetView showGridLines="0" zoomScaleNormal="100" workbookViewId="0">
      <selection activeCell="F7" sqref="F7"/>
    </sheetView>
  </sheetViews>
  <sheetFormatPr defaultColWidth="9.33203125" defaultRowHeight="13.2" x14ac:dyDescent="0.25"/>
  <cols>
    <col min="1" max="1" width="3.77734375" customWidth="1"/>
    <col min="2" max="2" width="33.33203125" customWidth="1"/>
    <col min="3" max="3" width="2" customWidth="1"/>
    <col min="4" max="4" width="16" customWidth="1"/>
    <col min="5" max="5" width="3" customWidth="1"/>
    <col min="6" max="6" width="12.77734375" customWidth="1"/>
    <col min="7" max="7" width="13" customWidth="1"/>
    <col min="8" max="9" width="3.7773437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77734375" customWidth="1"/>
    <col min="17" max="17" width="9" customWidth="1"/>
    <col min="18" max="18" width="15.77734375" customWidth="1"/>
    <col min="19" max="19" width="15" customWidth="1"/>
    <col min="20" max="20" width="15.33203125" customWidth="1"/>
    <col min="21" max="21" width="12.77734375" customWidth="1"/>
    <col min="22" max="22" width="15.77734375" customWidth="1"/>
    <col min="23" max="23" width="9.33203125" customWidth="1"/>
  </cols>
  <sheetData>
    <row r="1" spans="1:27" ht="12" customHeight="1" x14ac:dyDescent="0.25">
      <c r="A1" s="590" t="s">
        <v>0</v>
      </c>
      <c r="C1" s="723" t="str">
        <f>'Cover Page'!D1</f>
        <v>AIBT Non-Profit Charter High School</v>
      </c>
      <c r="D1" s="723"/>
      <c r="E1" s="723"/>
      <c r="F1" s="723"/>
      <c r="H1" t="s">
        <v>20</v>
      </c>
      <c r="I1" s="590" t="s">
        <v>1</v>
      </c>
      <c r="L1" s="611" t="str">
        <f>'Cover Page'!M1</f>
        <v>Maricopa</v>
      </c>
      <c r="T1" s="61" t="s">
        <v>2</v>
      </c>
      <c r="U1" s="213" t="str">
        <f>'Cover Page'!R1</f>
        <v>078286000</v>
      </c>
    </row>
    <row r="2" spans="1:27" hidden="1" x14ac:dyDescent="0.25">
      <c r="T2" s="69"/>
      <c r="U2" s="69"/>
    </row>
    <row r="3" spans="1:27" x14ac:dyDescent="0.25">
      <c r="V3" s="157"/>
    </row>
    <row r="4" spans="1:27" x14ac:dyDescent="0.25">
      <c r="A4" s="214" t="s">
        <v>225</v>
      </c>
      <c r="B4" s="69"/>
      <c r="C4" s="69"/>
      <c r="D4" s="69"/>
      <c r="E4" s="69"/>
      <c r="F4" s="69"/>
      <c r="G4" s="69"/>
      <c r="H4" s="69"/>
      <c r="I4" s="69"/>
      <c r="J4" s="69"/>
      <c r="K4" s="69"/>
      <c r="L4" s="69"/>
      <c r="M4" s="69"/>
      <c r="N4" s="69"/>
      <c r="O4" s="69"/>
      <c r="P4" s="69"/>
      <c r="Q4" s="69"/>
      <c r="R4" s="69"/>
      <c r="S4" s="69"/>
      <c r="T4" s="69"/>
      <c r="U4" s="69"/>
    </row>
    <row r="5" spans="1:27" x14ac:dyDescent="0.25">
      <c r="D5" s="675" t="s">
        <v>1186</v>
      </c>
      <c r="F5" s="675" t="s">
        <v>1187</v>
      </c>
    </row>
    <row r="6" spans="1:27" x14ac:dyDescent="0.25">
      <c r="A6" t="s">
        <v>226</v>
      </c>
      <c r="B6" t="s">
        <v>227</v>
      </c>
      <c r="C6" s="3" t="s">
        <v>16</v>
      </c>
      <c r="D6" s="215">
        <f>[1]!CashBal</f>
        <v>332596</v>
      </c>
      <c r="E6" s="3" t="s">
        <v>16</v>
      </c>
      <c r="F6" s="57">
        <f>9076945*0.05</f>
        <v>453847</v>
      </c>
      <c r="I6" t="s">
        <v>228</v>
      </c>
      <c r="J6" s="216" t="s">
        <v>24</v>
      </c>
      <c r="K6" s="217" t="s">
        <v>229</v>
      </c>
      <c r="L6" s="218"/>
      <c r="M6" s="219"/>
      <c r="N6" s="218"/>
      <c r="O6" s="219"/>
      <c r="P6" s="218"/>
      <c r="Q6" s="219"/>
      <c r="T6" s="26">
        <v>1</v>
      </c>
      <c r="U6" s="718"/>
      <c r="V6" s="718"/>
      <c r="W6" s="718"/>
      <c r="X6" s="718"/>
      <c r="Y6" s="718"/>
      <c r="Z6" s="718"/>
      <c r="AA6" s="718"/>
    </row>
    <row r="7" spans="1:27" x14ac:dyDescent="0.25">
      <c r="D7" s="221"/>
      <c r="F7" s="221"/>
      <c r="J7" s="216" t="s">
        <v>26</v>
      </c>
      <c r="K7" s="217" t="s">
        <v>230</v>
      </c>
      <c r="L7" s="218"/>
      <c r="M7" s="219"/>
      <c r="N7" s="218"/>
      <c r="O7" s="219"/>
      <c r="P7" s="218"/>
      <c r="Q7" s="219"/>
      <c r="T7" s="26">
        <v>0</v>
      </c>
      <c r="AA7" s="222" t="str">
        <f>IF(OR(CashBal="",F9="",G9="",F10="",G10="",G14="",G15="",G16="",G17="",G18="",G19="",F23="",F24="",F25="",F26="",F27="",F28="",G33="",G34="",G35="",G36="",G38="",G40=""),"yes","")</f>
        <v/>
      </c>
    </row>
    <row r="8" spans="1:27" x14ac:dyDescent="0.25">
      <c r="A8" t="s">
        <v>231</v>
      </c>
      <c r="B8" s="217" t="s">
        <v>232</v>
      </c>
      <c r="C8" s="3"/>
      <c r="E8" s="3"/>
      <c r="F8" s="626" t="s">
        <v>101</v>
      </c>
      <c r="G8" s="626" t="s">
        <v>23</v>
      </c>
      <c r="J8" s="216" t="s">
        <v>28</v>
      </c>
      <c r="K8" s="217" t="s">
        <v>233</v>
      </c>
      <c r="L8" s="218"/>
      <c r="M8" s="219"/>
      <c r="N8" s="218"/>
      <c r="O8" s="219"/>
      <c r="P8" s="218"/>
      <c r="Q8" s="219"/>
      <c r="T8" s="29">
        <v>0</v>
      </c>
      <c r="AA8" s="222" t="str">
        <f>IF(OR(T6="",T7="",T8="",T9="",T10="",T11="",T12="",T13="",T29=""),"yes","")</f>
        <v/>
      </c>
    </row>
    <row r="9" spans="1:27" x14ac:dyDescent="0.25">
      <c r="B9" t="s">
        <v>234</v>
      </c>
      <c r="C9" s="3"/>
      <c r="E9" s="3"/>
      <c r="F9" s="53">
        <v>0</v>
      </c>
      <c r="G9" s="53">
        <v>0</v>
      </c>
      <c r="J9" s="223" t="s">
        <v>31</v>
      </c>
      <c r="K9" t="s">
        <v>235</v>
      </c>
      <c r="T9" s="27">
        <v>1</v>
      </c>
      <c r="AA9" s="222" t="str">
        <f>IF(OR(M19="",P19="",R19="",S19="",T19="",M20="",P20="",R20="",S20="",T20="",M21="",P21="",R21="",S21="",T21="",M22="",P22="",R22="",S22="",T22="",M24="",P24="",R24="",S24="",T24=""),"yes","")</f>
        <v/>
      </c>
    </row>
    <row r="10" spans="1:27" ht="13.8" thickBot="1" x14ac:dyDescent="0.3">
      <c r="B10" t="s">
        <v>236</v>
      </c>
      <c r="F10" s="56">
        <v>0</v>
      </c>
      <c r="G10" s="56">
        <v>0</v>
      </c>
      <c r="J10" s="223" t="s">
        <v>33</v>
      </c>
      <c r="K10" t="s">
        <v>237</v>
      </c>
      <c r="T10" s="26">
        <v>180</v>
      </c>
      <c r="AA10" s="222" t="str">
        <f>IF(AND(AA7="",AA8="",AA9=""),"","yes")</f>
        <v/>
      </c>
    </row>
    <row r="11" spans="1:27" ht="13.8" thickBot="1" x14ac:dyDescent="0.3">
      <c r="B11" t="s">
        <v>238</v>
      </c>
      <c r="F11" s="225">
        <f>SUM(F9:F10)</f>
        <v>0</v>
      </c>
      <c r="G11" s="225">
        <f>SUM(G9:G10)</f>
        <v>0</v>
      </c>
      <c r="J11" s="91" t="s">
        <v>35</v>
      </c>
      <c r="K11" t="s">
        <v>239</v>
      </c>
      <c r="S11" s="3" t="s">
        <v>16</v>
      </c>
      <c r="T11" s="27">
        <v>0</v>
      </c>
    </row>
    <row r="12" spans="1:27" ht="13.8" thickTop="1" x14ac:dyDescent="0.25">
      <c r="J12" s="91" t="s">
        <v>37</v>
      </c>
      <c r="K12" t="s">
        <v>240</v>
      </c>
      <c r="S12" s="3" t="s">
        <v>16</v>
      </c>
      <c r="T12" s="27">
        <v>0</v>
      </c>
    </row>
    <row r="13" spans="1:27" x14ac:dyDescent="0.25">
      <c r="A13" t="s">
        <v>241</v>
      </c>
      <c r="B13" s="217" t="s">
        <v>242</v>
      </c>
      <c r="F13" s="626" t="s">
        <v>101</v>
      </c>
      <c r="G13" s="626" t="s">
        <v>23</v>
      </c>
      <c r="J13" s="91" t="s">
        <v>39</v>
      </c>
      <c r="K13" t="s">
        <v>243</v>
      </c>
      <c r="S13" s="3" t="s">
        <v>16</v>
      </c>
      <c r="T13" s="619">
        <v>0</v>
      </c>
    </row>
    <row r="14" spans="1:27" x14ac:dyDescent="0.25">
      <c r="B14" t="s">
        <v>244</v>
      </c>
      <c r="F14" s="591">
        <f>[3]!CA0181IntangibleAssets</f>
        <v>0</v>
      </c>
      <c r="G14" s="51">
        <v>0</v>
      </c>
      <c r="J14" s="91"/>
      <c r="T14" s="3"/>
      <c r="U14" s="226"/>
    </row>
    <row r="15" spans="1:27" x14ac:dyDescent="0.25">
      <c r="B15" t="s">
        <v>245</v>
      </c>
      <c r="F15" s="591">
        <f>[3]!CA0191Land</f>
        <v>0</v>
      </c>
      <c r="G15" s="51">
        <v>0</v>
      </c>
    </row>
    <row r="16" spans="1:27" ht="12.75" customHeight="1" x14ac:dyDescent="0.25">
      <c r="B16" t="s">
        <v>246</v>
      </c>
      <c r="F16" s="591">
        <f>[3]!CA0192SiteImprovements</f>
        <v>0</v>
      </c>
      <c r="G16" s="51">
        <v>0</v>
      </c>
      <c r="M16" s="758" t="s">
        <v>247</v>
      </c>
      <c r="N16" s="773"/>
      <c r="O16" s="759"/>
      <c r="P16" s="758" t="s">
        <v>248</v>
      </c>
      <c r="Q16" s="759"/>
      <c r="R16" s="227" t="s">
        <v>247</v>
      </c>
      <c r="S16" s="227" t="s">
        <v>248</v>
      </c>
      <c r="T16" s="227" t="s">
        <v>249</v>
      </c>
      <c r="V16" s="4"/>
      <c r="W16" s="4"/>
    </row>
    <row r="17" spans="1:21" ht="12.75" customHeight="1" x14ac:dyDescent="0.25">
      <c r="B17" t="s">
        <v>250</v>
      </c>
      <c r="F17" s="591">
        <f>[3]!CA0194Buildings</f>
        <v>0</v>
      </c>
      <c r="G17" s="51">
        <v>0</v>
      </c>
      <c r="I17" t="s">
        <v>251</v>
      </c>
      <c r="J17" s="217" t="s">
        <v>252</v>
      </c>
      <c r="K17" s="217"/>
      <c r="L17" s="217"/>
      <c r="M17" s="766" t="s">
        <v>253</v>
      </c>
      <c r="N17" s="767"/>
      <c r="O17" s="768"/>
      <c r="P17" s="766" t="s">
        <v>253</v>
      </c>
      <c r="Q17" s="768"/>
      <c r="R17" s="228" t="s">
        <v>254</v>
      </c>
      <c r="S17" s="228" t="s">
        <v>254</v>
      </c>
      <c r="T17" s="228" t="s">
        <v>253</v>
      </c>
    </row>
    <row r="18" spans="1:21" ht="12.75" customHeight="1" x14ac:dyDescent="0.25">
      <c r="B18" t="s">
        <v>255</v>
      </c>
      <c r="F18" s="591">
        <f>[3]!CA0196Equipment</f>
        <v>0</v>
      </c>
      <c r="G18" s="51">
        <v>0</v>
      </c>
      <c r="J18" s="217" t="s">
        <v>256</v>
      </c>
      <c r="K18" s="217"/>
      <c r="L18" s="217"/>
      <c r="M18" s="769" t="s">
        <v>257</v>
      </c>
      <c r="N18" s="770"/>
      <c r="O18" s="771"/>
      <c r="P18" s="769" t="s">
        <v>258</v>
      </c>
      <c r="Q18" s="771"/>
      <c r="R18" s="229" t="s">
        <v>259</v>
      </c>
      <c r="S18" s="229" t="s">
        <v>260</v>
      </c>
      <c r="T18" s="229" t="s">
        <v>261</v>
      </c>
    </row>
    <row r="19" spans="1:21" ht="12.75" customHeight="1" thickBot="1" x14ac:dyDescent="0.3">
      <c r="B19" s="217" t="s">
        <v>262</v>
      </c>
      <c r="F19" s="224">
        <f>[3]!CA0198CIP</f>
        <v>0</v>
      </c>
      <c r="G19" s="55">
        <v>0</v>
      </c>
      <c r="J19" s="216" t="s">
        <v>24</v>
      </c>
      <c r="K19" s="217" t="s">
        <v>263</v>
      </c>
      <c r="L19" s="217"/>
      <c r="M19" s="760">
        <v>44351</v>
      </c>
      <c r="N19" s="761"/>
      <c r="O19" s="765"/>
      <c r="P19" s="760">
        <v>0</v>
      </c>
      <c r="Q19" s="761"/>
      <c r="R19" s="30">
        <v>0</v>
      </c>
      <c r="S19" s="30">
        <v>0</v>
      </c>
      <c r="T19" s="30">
        <v>0</v>
      </c>
    </row>
    <row r="20" spans="1:21" ht="13.5" customHeight="1" thickBot="1" x14ac:dyDescent="0.3">
      <c r="B20" t="s">
        <v>264</v>
      </c>
      <c r="F20" s="581">
        <f>SUM(F14:F19)</f>
        <v>0</v>
      </c>
      <c r="G20" s="225">
        <f>SUM(G14:G19)</f>
        <v>0</v>
      </c>
      <c r="J20" s="216" t="s">
        <v>26</v>
      </c>
      <c r="K20" s="217" t="s">
        <v>265</v>
      </c>
      <c r="L20" s="217"/>
      <c r="M20" s="760">
        <v>0</v>
      </c>
      <c r="N20" s="761"/>
      <c r="O20" s="765"/>
      <c r="P20" s="760">
        <v>0</v>
      </c>
      <c r="Q20" s="761"/>
      <c r="R20" s="30">
        <v>0</v>
      </c>
      <c r="S20" s="30">
        <v>0</v>
      </c>
      <c r="T20" s="30">
        <v>0</v>
      </c>
    </row>
    <row r="21" spans="1:21" ht="13.8" thickTop="1" x14ac:dyDescent="0.25">
      <c r="J21" s="216" t="s">
        <v>28</v>
      </c>
      <c r="K21" s="217" t="s">
        <v>266</v>
      </c>
      <c r="L21" s="217"/>
      <c r="M21" s="760">
        <v>0</v>
      </c>
      <c r="N21" s="761"/>
      <c r="O21" s="765"/>
      <c r="P21" s="760">
        <v>0</v>
      </c>
      <c r="Q21" s="761"/>
      <c r="R21" s="30">
        <v>0</v>
      </c>
      <c r="S21" s="30">
        <v>0</v>
      </c>
      <c r="T21" s="30">
        <v>0</v>
      </c>
      <c r="U21" s="226"/>
    </row>
    <row r="22" spans="1:21" ht="13.5" customHeight="1" x14ac:dyDescent="0.25">
      <c r="A22" t="s">
        <v>267</v>
      </c>
      <c r="B22" s="217" t="s">
        <v>1188</v>
      </c>
      <c r="C22" s="231"/>
      <c r="D22" s="231"/>
      <c r="E22" s="217"/>
      <c r="F22" s="217"/>
      <c r="J22" s="216" t="s">
        <v>31</v>
      </c>
      <c r="K22" s="217" t="s">
        <v>268</v>
      </c>
      <c r="L22" s="217"/>
      <c r="M22" s="762">
        <v>0</v>
      </c>
      <c r="N22" s="763"/>
      <c r="O22" s="764"/>
      <c r="P22" s="760">
        <v>0</v>
      </c>
      <c r="Q22" s="765"/>
      <c r="R22" s="30">
        <v>0</v>
      </c>
      <c r="S22" s="30">
        <v>0</v>
      </c>
      <c r="T22" s="30">
        <v>0</v>
      </c>
      <c r="U22" s="226"/>
    </row>
    <row r="23" spans="1:21" ht="13.5" customHeight="1" x14ac:dyDescent="0.25">
      <c r="B23" t="s">
        <v>244</v>
      </c>
      <c r="E23" s="3" t="s">
        <v>16</v>
      </c>
      <c r="F23" s="26">
        <v>0</v>
      </c>
      <c r="J23" s="216" t="s">
        <v>33</v>
      </c>
      <c r="K23" s="774" t="s">
        <v>269</v>
      </c>
      <c r="L23" s="775"/>
      <c r="M23" s="232"/>
      <c r="N23" s="233"/>
      <c r="O23" s="234"/>
      <c r="P23" s="233"/>
      <c r="Q23" s="234"/>
      <c r="R23" s="235"/>
      <c r="S23" s="235"/>
      <c r="T23" s="235"/>
      <c r="U23" s="226"/>
    </row>
    <row r="24" spans="1:21" ht="13.5" customHeight="1" x14ac:dyDescent="0.25">
      <c r="B24" t="s">
        <v>245</v>
      </c>
      <c r="E24" s="3" t="s">
        <v>16</v>
      </c>
      <c r="F24" s="26">
        <v>169600</v>
      </c>
      <c r="J24" s="236"/>
      <c r="K24" s="774"/>
      <c r="L24" s="775"/>
      <c r="M24" s="783">
        <v>0</v>
      </c>
      <c r="N24" s="784"/>
      <c r="O24" s="785"/>
      <c r="P24" s="783">
        <v>0</v>
      </c>
      <c r="Q24" s="784"/>
      <c r="R24" s="31">
        <v>0</v>
      </c>
      <c r="S24" s="31">
        <v>0</v>
      </c>
      <c r="T24" s="31">
        <v>0</v>
      </c>
      <c r="U24" s="226"/>
    </row>
    <row r="25" spans="1:21" ht="13.5" customHeight="1" x14ac:dyDescent="0.25">
      <c r="B25" t="s">
        <v>246</v>
      </c>
      <c r="E25" s="3" t="s">
        <v>16</v>
      </c>
      <c r="F25" s="26">
        <v>73556</v>
      </c>
      <c r="M25" s="28"/>
      <c r="N25" s="28"/>
      <c r="O25" s="28"/>
      <c r="P25" s="28"/>
      <c r="Q25" s="28"/>
      <c r="R25" s="28"/>
      <c r="S25" s="28"/>
      <c r="T25" s="28"/>
      <c r="U25" s="28"/>
    </row>
    <row r="26" spans="1:21" ht="13.5" customHeight="1" x14ac:dyDescent="0.25">
      <c r="B26" t="s">
        <v>250</v>
      </c>
      <c r="E26" s="3" t="s">
        <v>16</v>
      </c>
      <c r="F26" s="27">
        <v>1078687</v>
      </c>
      <c r="M26" s="226"/>
      <c r="N26" s="226"/>
      <c r="O26" s="226"/>
      <c r="P26" s="226"/>
      <c r="Q26" s="226"/>
      <c r="R26" s="226"/>
      <c r="S26" s="226"/>
      <c r="T26" s="226"/>
      <c r="U26" s="226"/>
    </row>
    <row r="27" spans="1:21" ht="15.75" customHeight="1" thickBot="1" x14ac:dyDescent="0.3">
      <c r="B27" t="s">
        <v>255</v>
      </c>
      <c r="E27" s="3" t="s">
        <v>16</v>
      </c>
      <c r="F27" s="26">
        <v>37661</v>
      </c>
      <c r="I27" t="s">
        <v>270</v>
      </c>
      <c r="J27" s="217" t="s">
        <v>271</v>
      </c>
      <c r="K27" s="237"/>
      <c r="L27" s="237"/>
      <c r="M27" s="237"/>
      <c r="N27" s="237"/>
      <c r="O27" s="237"/>
      <c r="P27" s="237"/>
      <c r="Q27" s="237"/>
      <c r="R27" s="237"/>
      <c r="S27" s="589"/>
    </row>
    <row r="28" spans="1:21" ht="13.5" customHeight="1" thickBot="1" x14ac:dyDescent="0.35">
      <c r="B28" s="217" t="s">
        <v>262</v>
      </c>
      <c r="E28" s="3" t="s">
        <v>16</v>
      </c>
      <c r="F28" s="26">
        <v>0</v>
      </c>
      <c r="I28" s="91"/>
      <c r="K28" s="32"/>
      <c r="L28" t="s">
        <v>1189</v>
      </c>
      <c r="M28" s="238"/>
      <c r="N28" s="238"/>
      <c r="O28" s="238"/>
      <c r="P28" s="238"/>
      <c r="Q28" s="238"/>
      <c r="U28" s="589"/>
    </row>
    <row r="29" spans="1:21" ht="13.5" customHeight="1" thickBot="1" x14ac:dyDescent="0.3">
      <c r="B29" t="s">
        <v>272</v>
      </c>
      <c r="E29" s="3" t="s">
        <v>16</v>
      </c>
      <c r="F29" s="239">
        <f>SUM(F23:F28)</f>
        <v>1359504</v>
      </c>
      <c r="I29" s="91"/>
      <c r="J29" t="s">
        <v>24</v>
      </c>
      <c r="K29" t="s">
        <v>1190</v>
      </c>
      <c r="N29" s="240"/>
      <c r="S29" s="3" t="s">
        <v>16</v>
      </c>
      <c r="T29" s="58">
        <v>44351</v>
      </c>
      <c r="U29" s="589"/>
    </row>
    <row r="30" spans="1:21" ht="13.8" thickTop="1" x14ac:dyDescent="0.25">
      <c r="I30" s="91"/>
      <c r="J30" t="s">
        <v>26</v>
      </c>
      <c r="K30" t="s">
        <v>1191</v>
      </c>
      <c r="L30" s="160"/>
      <c r="M30" s="160"/>
      <c r="S30" s="3" t="s">
        <v>16</v>
      </c>
      <c r="T30" s="241">
        <f>'[1]Page 6'!$T$29</f>
        <v>44351</v>
      </c>
      <c r="U30" s="589"/>
    </row>
    <row r="31" spans="1:21" x14ac:dyDescent="0.25">
      <c r="A31" t="s">
        <v>273</v>
      </c>
      <c r="B31" s="217" t="s">
        <v>274</v>
      </c>
      <c r="C31" s="217"/>
      <c r="D31" s="217"/>
      <c r="E31" s="242"/>
      <c r="J31" t="s">
        <v>28</v>
      </c>
      <c r="K31" t="s">
        <v>1192</v>
      </c>
      <c r="L31" s="160"/>
      <c r="M31" s="160"/>
      <c r="S31" s="3" t="s">
        <v>16</v>
      </c>
      <c r="T31" s="243">
        <f>T29-T30</f>
        <v>0</v>
      </c>
      <c r="U31" s="589"/>
    </row>
    <row r="32" spans="1:21" ht="13.8" thickBot="1" x14ac:dyDescent="0.3">
      <c r="B32" t="s">
        <v>275</v>
      </c>
      <c r="F32" s="3"/>
      <c r="G32" s="28"/>
      <c r="J32" s="244" t="s">
        <v>31</v>
      </c>
      <c r="K32" t="s">
        <v>276</v>
      </c>
      <c r="L32" s="245"/>
      <c r="M32" s="245"/>
      <c r="P32" s="118"/>
      <c r="Q32" s="118"/>
      <c r="R32" s="118"/>
      <c r="S32" s="3" t="s">
        <v>16</v>
      </c>
      <c r="T32" s="246">
        <f>IF(PriorYearSalary&gt;0,T31/T30,0)</f>
        <v>0</v>
      </c>
      <c r="U32" s="589"/>
    </row>
    <row r="33" spans="1:21" ht="13.5" customHeight="1" thickTop="1" x14ac:dyDescent="0.25">
      <c r="B33" t="s">
        <v>277</v>
      </c>
      <c r="F33" s="3" t="s">
        <v>16</v>
      </c>
      <c r="G33" s="26">
        <f>+'Accounting data'!G25+'Accounting data'!G26+'Accounting data'!G27+'Accounting data'!G28+'Accounting data'!G29+'Accounting data'!G30+'Accounting data'!G31+'Accounting data'!G32+'Accounting data'!G33+'Accounting data'!G34+'Accounting data'!G35+'Accounting data'!G36+'Accounting data'!G40</f>
        <v>43237</v>
      </c>
      <c r="H33" s="732" t="str">
        <f>IF('Page 2'!J48=0,"",IF(OR(G36&lt;=0),"The Charter did not report any current expenses for student support services on line 4. If the Charter did not have any expense, verify by checking the box in A16 on the Cover Page.",""))</f>
        <v/>
      </c>
      <c r="I33" s="732"/>
      <c r="J33" s="732"/>
      <c r="K33" s="732"/>
      <c r="L33" s="732"/>
      <c r="M33" s="732"/>
      <c r="N33" s="732"/>
      <c r="O33" s="732"/>
      <c r="P33" s="732"/>
      <c r="Q33" s="732"/>
      <c r="R33" s="732"/>
      <c r="S33" s="732"/>
      <c r="T33" s="4"/>
      <c r="U33" s="4"/>
    </row>
    <row r="34" spans="1:21" ht="13.5" customHeight="1" x14ac:dyDescent="0.25">
      <c r="B34" t="s">
        <v>278</v>
      </c>
      <c r="C34" s="242"/>
      <c r="D34" s="242"/>
      <c r="E34" s="242"/>
      <c r="F34" s="3" t="s">
        <v>16</v>
      </c>
      <c r="G34" s="26">
        <f>+'Accounting data'!G37+'Accounting data'!G38+'Accounting data'!G39+'Accounting data'!G73</f>
        <v>54</v>
      </c>
      <c r="H34" s="732"/>
      <c r="I34" s="732"/>
      <c r="J34" s="732"/>
      <c r="K34" s="732"/>
      <c r="L34" s="732"/>
      <c r="M34" s="732"/>
      <c r="N34" s="732"/>
      <c r="O34" s="732"/>
      <c r="P34" s="732"/>
      <c r="Q34" s="732"/>
      <c r="R34" s="732"/>
      <c r="S34" s="732"/>
      <c r="T34" s="4"/>
      <c r="U34" s="4"/>
    </row>
    <row r="35" spans="1:21" x14ac:dyDescent="0.25">
      <c r="B35" t="s">
        <v>279</v>
      </c>
      <c r="C35" s="242"/>
      <c r="D35" s="242"/>
      <c r="E35" s="242"/>
      <c r="F35" s="3" t="s">
        <v>16</v>
      </c>
      <c r="G35" s="27">
        <f>+'Accounting data'!G67+'Accounting data'!G68+'Accounting data'!G69+'Accounting data'!G70+'Accounting data'!G75+'Accounting data'!G90+'Accounting data'!G92+'Accounting data'!G93+'Accounting data'!G94+'Accounting data'!G100</f>
        <v>17041</v>
      </c>
      <c r="K35" t="s">
        <v>280</v>
      </c>
    </row>
    <row r="36" spans="1:21" x14ac:dyDescent="0.25">
      <c r="B36" t="s">
        <v>281</v>
      </c>
      <c r="C36" s="242"/>
      <c r="D36" s="242"/>
      <c r="E36" s="242"/>
      <c r="F36" s="3" t="s">
        <v>16</v>
      </c>
      <c r="G36" s="26">
        <f>+'Accounting data'!G44+'Accounting data'!G48+'Accounting data'!G49+'Accounting data'!G50</f>
        <v>1300</v>
      </c>
      <c r="K36" s="777"/>
      <c r="L36" s="778"/>
      <c r="M36" s="778"/>
      <c r="N36" s="778"/>
      <c r="O36" s="778"/>
      <c r="P36" s="778"/>
      <c r="Q36" s="778"/>
      <c r="R36" s="778"/>
      <c r="S36" s="778"/>
      <c r="T36" s="779"/>
    </row>
    <row r="37" spans="1:21" ht="13.8" x14ac:dyDescent="0.25">
      <c r="A37" s="247"/>
      <c r="B37" t="s">
        <v>282</v>
      </c>
      <c r="E37" s="242"/>
      <c r="F37" s="3"/>
      <c r="G37" s="28"/>
      <c r="K37" s="780"/>
      <c r="L37" s="781"/>
      <c r="M37" s="781"/>
      <c r="N37" s="781"/>
      <c r="O37" s="781"/>
      <c r="P37" s="781"/>
      <c r="Q37" s="781"/>
      <c r="R37" s="781"/>
      <c r="S37" s="781"/>
      <c r="T37" s="782"/>
    </row>
    <row r="38" spans="1:21" ht="13.8" x14ac:dyDescent="0.25">
      <c r="A38" s="247"/>
      <c r="B38" t="s">
        <v>283</v>
      </c>
      <c r="E38" s="242"/>
      <c r="F38" s="3" t="s">
        <v>16</v>
      </c>
      <c r="G38" s="26">
        <f>+'Accounting data'!G103</f>
        <v>262</v>
      </c>
      <c r="J38" s="223"/>
      <c r="K38" s="589"/>
      <c r="S38" s="3"/>
      <c r="T38" s="248"/>
    </row>
    <row r="39" spans="1:21" ht="14.4" thickBot="1" x14ac:dyDescent="0.3">
      <c r="A39" s="247"/>
      <c r="B39" s="91" t="s">
        <v>284</v>
      </c>
      <c r="F39" s="3" t="s">
        <v>16</v>
      </c>
      <c r="G39" s="239">
        <f>SUM(G33:G38)</f>
        <v>61894</v>
      </c>
    </row>
    <row r="40" spans="1:21" ht="13.5" customHeight="1" thickTop="1" x14ac:dyDescent="0.25">
      <c r="B40" s="772" t="s">
        <v>285</v>
      </c>
      <c r="C40" s="772"/>
      <c r="D40" s="772"/>
      <c r="E40" s="772"/>
      <c r="F40" s="3" t="s">
        <v>16</v>
      </c>
      <c r="G40" s="26">
        <f>'Page 8'!K23</f>
        <v>3693</v>
      </c>
    </row>
    <row r="41" spans="1:21" x14ac:dyDescent="0.25">
      <c r="B41" s="776" t="s">
        <v>286</v>
      </c>
      <c r="C41" s="776"/>
      <c r="D41" s="776"/>
      <c r="E41" s="776"/>
      <c r="F41" s="3" t="s">
        <v>16</v>
      </c>
      <c r="G41" s="220">
        <f>G39-G40</f>
        <v>58201</v>
      </c>
    </row>
  </sheetData>
  <sheetProtection formatCells="0" formatColumns="0" formatRows="0"/>
  <mergeCells count="23">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 ref="C1:F1"/>
    <mergeCell ref="P16:Q16"/>
    <mergeCell ref="P21:Q21"/>
    <mergeCell ref="M22:O22"/>
    <mergeCell ref="P22:Q22"/>
    <mergeCell ref="M17:O17"/>
    <mergeCell ref="M18:O18"/>
  </mergeCells>
  <conditionalFormatting sqref="F6 F9:F10">
    <cfRule type="expression" dxfId="58" priority="16" stopIfTrue="1">
      <formula>$F6=""</formula>
    </cfRule>
  </conditionalFormatting>
  <conditionalFormatting sqref="F23:F28">
    <cfRule type="expression" dxfId="57" priority="10" stopIfTrue="1">
      <formula>$F23=""</formula>
    </cfRule>
  </conditionalFormatting>
  <conditionalFormatting sqref="G9:G10">
    <cfRule type="expression" dxfId="56" priority="15" stopIfTrue="1">
      <formula>$G9=""</formula>
    </cfRule>
  </conditionalFormatting>
  <conditionalFormatting sqref="G14:G19">
    <cfRule type="expression" dxfId="55" priority="11" stopIfTrue="1">
      <formula>$G14=""</formula>
    </cfRule>
  </conditionalFormatting>
  <conditionalFormatting sqref="G33:G36 G38 G40">
    <cfRule type="expression" dxfId="54" priority="8" stopIfTrue="1">
      <formula>$G33=""</formula>
    </cfRule>
  </conditionalFormatting>
  <conditionalFormatting sqref="G36">
    <cfRule type="expression" dxfId="53" priority="9" stopIfTrue="1">
      <formula>$H$33&lt;&gt;""</formula>
    </cfRule>
  </conditionalFormatting>
  <conditionalFormatting sqref="H33">
    <cfRule type="expression" dxfId="52" priority="18" stopIfTrue="1">
      <formula>$H$33&lt;&gt;""</formula>
    </cfRule>
  </conditionalFormatting>
  <conditionalFormatting sqref="M19:T22">
    <cfRule type="expression" dxfId="51" priority="5" stopIfTrue="1">
      <formula>M19=""</formula>
    </cfRule>
  </conditionalFormatting>
  <conditionalFormatting sqref="M24:T24">
    <cfRule type="expression" dxfId="50" priority="6" stopIfTrue="1">
      <formula>M24=""</formula>
    </cfRule>
  </conditionalFormatting>
  <conditionalFormatting sqref="T6:T13">
    <cfRule type="expression" dxfId="49" priority="7" stopIfTrue="1">
      <formula>$T6=""</formula>
    </cfRule>
  </conditionalFormatting>
  <conditionalFormatting sqref="T29:T30">
    <cfRule type="expression" dxfId="48" priority="14" stopIfTrue="1">
      <formula>$T29=""</formula>
    </cfRule>
  </conditionalFormatting>
  <dataValidations count="1">
    <dataValidation type="list" allowBlank="1" showInputMessage="1" showErrorMessage="1" sqref="K28" xr:uid="{00000000-0002-0000-0600-000000000000}">
      <formula1>"X"</formula1>
    </dataValidation>
  </dataValidations>
  <hyperlinks>
    <hyperlink ref="B8" location="AuditServices" display="AUDIT SERVICES" xr:uid="{00000000-0004-0000-0600-000000000000}"/>
    <hyperlink ref="B13" location="CapitalAcquisitions" display="CAPITAL ACQUISITIONS" xr:uid="{00000000-0004-0000-0600-000001000000}"/>
    <hyperlink ref="B22:F22" location="InvestmentInCapitalAssets" display="INVESTMENT IN CAPITAL ASSETS AS OF JUNE 30, 2013" xr:uid="{00000000-0004-0000-0600-000002000000}"/>
    <hyperlink ref="B31:D31" location="CurrentExpensesByCategory" display="CURRENT EXPENSES BY CATEGORY" xr:uid="{00000000-0004-0000-0600-000003000000}"/>
    <hyperlink ref="J17:L18" location="TeacherSalaries" display="TEACHER SALARIES (1)" xr:uid="{00000000-0004-0000-0600-000004000000}"/>
    <hyperlink ref="J19:L19" location="TeacherSalariesLine1" display="1." xr:uid="{00000000-0004-0000-0600-000005000000}"/>
    <hyperlink ref="J20:L20" location="TeacherSalariesLine2" display="2." xr:uid="{00000000-0004-0000-0600-000006000000}"/>
    <hyperlink ref="J21:L21" location="TeacherSalariesLine3" display="3." xr:uid="{00000000-0004-0000-0600-000007000000}"/>
    <hyperlink ref="J22:L22" location="TeacherSalariesLine4" display="4." xr:uid="{00000000-0004-0000-0600-000008000000}"/>
    <hyperlink ref="B19" location="CapitalAcquisitionsLine5" display="5.  0198  Construction in Progress" xr:uid="{00000000-0004-0000-0600-000009000000}"/>
    <hyperlink ref="B28" location="InvestmentInCapitalAssetsLine5" display="5.  0198  Construction in Progress" xr:uid="{00000000-0004-0000-0600-00000A000000}"/>
    <hyperlink ref="J6:Q8" location="FullTimeEquivalentTeachers" display="1." xr:uid="{00000000-0004-0000-0600-00000B000000}"/>
    <hyperlink ref="B40:D40" location="CurrentExpensesbyCategoryLines7and8" display="7. Current Expenses from Federal Projects, excluding those projects intended to replace local tax revenues (e.g., most Impact Aid Projects)" xr:uid="{00000000-0004-0000-0600-00000C000000}"/>
    <hyperlink ref="B41:E41" location="CurrentExpensesbyCategoryLines7and8" display="8. Current Expenses from State and Local Projects, including those projects intended to replace local tax revenues (e.g., most Impact Aid Projects)" xr:uid="{00000000-0004-0000-0600-00000D000000}"/>
    <hyperlink ref="K23:L24" location="TeacherSalariesLine5" display="Cocurr. Act., Athletics, &amp; Other (Program 600)" xr:uid="{00000000-0004-0000-0600-00000E000000}"/>
    <hyperlink ref="J27:R27" location="AverageTeacherSalary" display="AVERAGE TEACHER SALARY (A.R.S. §15-189.05, as added by Laws 2018, Ch. 285, §3)" xr:uid="{00000000-0004-0000-0600-00000F000000}"/>
    <hyperlink ref="J23" location="TeacherSalariesLine5" display="5." xr:uid="{00000000-0004-0000-0600-000010000000}"/>
  </hyperlinks>
  <pageMargins left="0.75" right="0.25" top="0.25" bottom="0.25" header="0.5" footer="0.15"/>
  <pageSetup paperSize="5" scale="85" orientation="landscape" r:id="rId1"/>
  <headerFooter>
    <oddFooter>&amp;LRev. 8/24 Arizona Department of Education and Auditor General&amp;CFY 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26"/>
  <sheetViews>
    <sheetView showGridLines="0" zoomScaleNormal="100" workbookViewId="0">
      <selection activeCell="T27" sqref="T27"/>
    </sheetView>
  </sheetViews>
  <sheetFormatPr defaultColWidth="9.33203125" defaultRowHeight="12.75" customHeight="1" x14ac:dyDescent="0.25"/>
  <cols>
    <col min="1" max="1" width="2.77734375" customWidth="1"/>
    <col min="2" max="2" width="9.77734375" customWidth="1"/>
    <col min="3" max="3" width="10.33203125" customWidth="1"/>
    <col min="4" max="4" width="10.77734375" customWidth="1"/>
    <col min="5" max="17" width="6.77734375" customWidth="1"/>
    <col min="18" max="18" width="9.6640625" customWidth="1"/>
    <col min="19" max="20" width="8.77734375" customWidth="1"/>
    <col min="21" max="22" width="11" customWidth="1"/>
    <col min="23" max="23" width="3.77734375" customWidth="1"/>
    <col min="24" max="24" width="9.33203125" customWidth="1"/>
  </cols>
  <sheetData>
    <row r="1" spans="1:27" ht="12.75" customHeight="1" x14ac:dyDescent="0.25">
      <c r="A1" s="590" t="s">
        <v>0</v>
      </c>
      <c r="D1" s="723" t="str">
        <f>'Cover Page'!D1</f>
        <v>AIBT Non-Profit Charter High School</v>
      </c>
      <c r="E1" s="723"/>
      <c r="F1" s="723"/>
      <c r="G1" s="723"/>
      <c r="K1" s="61" t="s">
        <v>1</v>
      </c>
      <c r="L1" s="723" t="str">
        <f>'Cover Page'!M1</f>
        <v>Maricopa</v>
      </c>
      <c r="M1" s="723"/>
      <c r="P1" s="69"/>
      <c r="U1" s="61" t="s">
        <v>2</v>
      </c>
      <c r="V1" s="213" t="str">
        <f>'Cover Page'!R1</f>
        <v>078286000</v>
      </c>
    </row>
    <row r="2" spans="1:27" ht="12.75" customHeight="1" x14ac:dyDescent="0.25">
      <c r="Q2" s="69"/>
      <c r="T2" s="69"/>
    </row>
    <row r="3" spans="1:27" ht="12.75" customHeight="1" x14ac:dyDescent="0.25">
      <c r="A3" s="214" t="s">
        <v>287</v>
      </c>
      <c r="B3" s="69"/>
      <c r="C3" s="69"/>
      <c r="D3" s="69"/>
      <c r="E3" s="69"/>
      <c r="F3" s="69"/>
      <c r="G3" s="69"/>
      <c r="H3" s="69"/>
      <c r="I3" s="69"/>
      <c r="J3" s="69"/>
      <c r="K3" s="69"/>
      <c r="L3" s="69"/>
      <c r="M3" s="69"/>
      <c r="N3" s="69"/>
      <c r="O3" s="69"/>
      <c r="P3" s="69"/>
      <c r="Q3" s="69"/>
      <c r="R3" s="69"/>
      <c r="S3" s="69"/>
      <c r="T3" s="69"/>
      <c r="U3" s="69"/>
      <c r="Y3" s="61"/>
    </row>
    <row r="4" spans="1:27" ht="6" customHeight="1" x14ac:dyDescent="0.25"/>
    <row r="5" spans="1:27" ht="12.75" customHeight="1" x14ac:dyDescent="0.25">
      <c r="A5" t="s">
        <v>288</v>
      </c>
    </row>
    <row r="6" spans="1:27" ht="12.75" customHeight="1" x14ac:dyDescent="0.25">
      <c r="E6" s="738" t="s">
        <v>289</v>
      </c>
      <c r="F6" s="748"/>
      <c r="G6" s="748"/>
      <c r="H6" s="748"/>
      <c r="I6" s="748"/>
      <c r="J6" s="748"/>
      <c r="K6" s="748"/>
      <c r="L6" s="748"/>
      <c r="M6" s="748"/>
      <c r="N6" s="748"/>
      <c r="O6" s="748"/>
      <c r="P6" s="748"/>
      <c r="Q6" s="748"/>
      <c r="R6" s="739"/>
    </row>
    <row r="7" spans="1:27" ht="12.75" customHeight="1" x14ac:dyDescent="0.25">
      <c r="B7" t="s">
        <v>290</v>
      </c>
      <c r="E7" s="626" t="s">
        <v>291</v>
      </c>
      <c r="F7" s="626">
        <v>1</v>
      </c>
      <c r="G7" s="626">
        <v>2</v>
      </c>
      <c r="H7" s="626">
        <v>3</v>
      </c>
      <c r="I7" s="626">
        <v>4</v>
      </c>
      <c r="J7" s="626">
        <v>5</v>
      </c>
      <c r="K7" s="626">
        <v>6</v>
      </c>
      <c r="L7" s="626">
        <v>7</v>
      </c>
      <c r="M7" s="626">
        <v>8</v>
      </c>
      <c r="N7" s="626">
        <v>9</v>
      </c>
      <c r="O7" s="626">
        <v>10</v>
      </c>
      <c r="P7" s="626">
        <v>11</v>
      </c>
      <c r="Q7" s="626">
        <v>12</v>
      </c>
      <c r="R7" s="626" t="s">
        <v>292</v>
      </c>
      <c r="S7" s="608"/>
      <c r="T7" s="608"/>
      <c r="AA7" s="50"/>
    </row>
    <row r="8" spans="1:27" ht="12.75" customHeight="1" x14ac:dyDescent="0.25">
      <c r="B8" t="s">
        <v>293</v>
      </c>
      <c r="E8" s="51">
        <v>0</v>
      </c>
      <c r="F8" s="51">
        <v>0</v>
      </c>
      <c r="G8" s="51">
        <v>0</v>
      </c>
      <c r="H8" s="51">
        <v>0</v>
      </c>
      <c r="I8" s="51">
        <v>0</v>
      </c>
      <c r="J8" s="51">
        <v>0</v>
      </c>
      <c r="K8" s="51">
        <v>0</v>
      </c>
      <c r="L8" s="51">
        <v>0</v>
      </c>
      <c r="M8" s="51">
        <v>0</v>
      </c>
      <c r="N8" s="51">
        <v>0</v>
      </c>
      <c r="O8" s="51">
        <v>0</v>
      </c>
      <c r="P8" s="51">
        <v>0</v>
      </c>
      <c r="Q8" s="51">
        <v>0</v>
      </c>
      <c r="R8" s="593">
        <f>SUM(E8:Q8)</f>
        <v>0</v>
      </c>
      <c r="S8" s="249" t="s">
        <v>24</v>
      </c>
      <c r="AA8" s="50" t="str">
        <f>IF(OR(E8="",F8="",G8="",H8="",I8="",J8="",K8="",L8="",M8="",N8="",O8="",P8="",Q8="",E9="",F9="",G9="",H9="",I9="",J9="",K9="",L9="",M9="",N9="",O9="",P9="",Q9=""),"yes","")</f>
        <v/>
      </c>
    </row>
    <row r="9" spans="1:27" ht="12.75" customHeight="1" x14ac:dyDescent="0.25">
      <c r="B9" t="s">
        <v>294</v>
      </c>
      <c r="E9" s="51">
        <v>0</v>
      </c>
      <c r="F9" s="51">
        <v>0</v>
      </c>
      <c r="G9" s="51">
        <v>0</v>
      </c>
      <c r="H9" s="51">
        <v>0</v>
      </c>
      <c r="I9" s="51">
        <v>0</v>
      </c>
      <c r="J9" s="51">
        <v>0</v>
      </c>
      <c r="K9" s="51">
        <v>0</v>
      </c>
      <c r="L9" s="51">
        <v>0</v>
      </c>
      <c r="M9" s="51">
        <v>0</v>
      </c>
      <c r="N9" s="51">
        <v>0</v>
      </c>
      <c r="O9" s="51">
        <v>0</v>
      </c>
      <c r="P9" s="51">
        <v>0</v>
      </c>
      <c r="Q9" s="51">
        <v>0</v>
      </c>
      <c r="R9" s="593">
        <f>SUM(E9:Q9)</f>
        <v>0</v>
      </c>
      <c r="S9" s="249" t="s">
        <v>26</v>
      </c>
      <c r="AA9" s="50" t="str">
        <f>IF(OR(E10="",F10="",G10="",H10="",I10="",J10="",K10="",L10="",M10="",N10="",O10="",P10="",Q10=""),"yes","")</f>
        <v/>
      </c>
    </row>
    <row r="10" spans="1:27" ht="12.75" customHeight="1" thickBot="1" x14ac:dyDescent="0.3">
      <c r="B10" t="s">
        <v>295</v>
      </c>
      <c r="E10" s="55">
        <v>0</v>
      </c>
      <c r="F10" s="55">
        <v>0</v>
      </c>
      <c r="G10" s="55">
        <v>0</v>
      </c>
      <c r="H10" s="55">
        <v>0</v>
      </c>
      <c r="I10" s="55">
        <v>0</v>
      </c>
      <c r="J10" s="55">
        <v>0</v>
      </c>
      <c r="K10" s="55">
        <v>0</v>
      </c>
      <c r="L10" s="55">
        <v>0</v>
      </c>
      <c r="M10" s="55">
        <v>0</v>
      </c>
      <c r="N10" s="55">
        <v>0</v>
      </c>
      <c r="O10" s="55">
        <v>0</v>
      </c>
      <c r="P10" s="55">
        <v>0</v>
      </c>
      <c r="Q10" s="55">
        <v>0</v>
      </c>
      <c r="R10" s="230">
        <f>SUM(E10:Q10)</f>
        <v>0</v>
      </c>
      <c r="S10" s="249" t="s">
        <v>28</v>
      </c>
      <c r="AA10" s="50"/>
    </row>
    <row r="11" spans="1:27" ht="12.75" customHeight="1" x14ac:dyDescent="0.25">
      <c r="B11" t="s">
        <v>296</v>
      </c>
      <c r="E11" s="786">
        <f t="shared" ref="E11:Q11" si="0">SUM(E8:E10)</f>
        <v>0</v>
      </c>
      <c r="F11" s="786">
        <f t="shared" si="0"/>
        <v>0</v>
      </c>
      <c r="G11" s="786">
        <f t="shared" si="0"/>
        <v>0</v>
      </c>
      <c r="H11" s="786">
        <f t="shared" si="0"/>
        <v>0</v>
      </c>
      <c r="I11" s="786">
        <f t="shared" si="0"/>
        <v>0</v>
      </c>
      <c r="J11" s="786">
        <f t="shared" ref="J11" si="1">SUM(J8:J10)</f>
        <v>0</v>
      </c>
      <c r="K11" s="786">
        <f t="shared" si="0"/>
        <v>0</v>
      </c>
      <c r="L11" s="786">
        <f t="shared" si="0"/>
        <v>0</v>
      </c>
      <c r="M11" s="786">
        <f>SUM(M8:M10)</f>
        <v>0</v>
      </c>
      <c r="N11" s="786">
        <f t="shared" si="0"/>
        <v>0</v>
      </c>
      <c r="O11" s="786">
        <f t="shared" si="0"/>
        <v>0</v>
      </c>
      <c r="P11" s="786">
        <f t="shared" si="0"/>
        <v>0</v>
      </c>
      <c r="Q11" s="786">
        <f t="shared" si="0"/>
        <v>0</v>
      </c>
      <c r="R11" s="786">
        <f>SUM(E11:Q11)</f>
        <v>0</v>
      </c>
      <c r="S11" s="249"/>
      <c r="AA11" s="50" t="str">
        <f>IF(OR(D17="",D18="",T16="",T17="",T18="",T19="",T20="",T21="",T22="",T25=""),"yes","")</f>
        <v/>
      </c>
    </row>
    <row r="12" spans="1:27" ht="13.8" thickBot="1" x14ac:dyDescent="0.3">
      <c r="B12" t="s">
        <v>297</v>
      </c>
      <c r="E12" s="787"/>
      <c r="F12" s="787"/>
      <c r="G12" s="787"/>
      <c r="H12" s="787"/>
      <c r="I12" s="787"/>
      <c r="J12" s="787"/>
      <c r="K12" s="787"/>
      <c r="L12" s="787"/>
      <c r="M12" s="787"/>
      <c r="N12" s="787"/>
      <c r="O12" s="787"/>
      <c r="P12" s="787"/>
      <c r="Q12" s="787"/>
      <c r="R12" s="787"/>
      <c r="S12" s="249" t="s">
        <v>31</v>
      </c>
      <c r="AA12" s="50" t="str">
        <f>IF(AND(AA8="",AA9="",AA11=""),"","yes")</f>
        <v/>
      </c>
    </row>
    <row r="13" spans="1:27" ht="16.5" customHeight="1" thickTop="1" x14ac:dyDescent="0.25">
      <c r="AA13" s="50"/>
    </row>
    <row r="14" spans="1:27" ht="12.75" customHeight="1" x14ac:dyDescent="0.25">
      <c r="A14" s="788" t="s">
        <v>298</v>
      </c>
      <c r="B14" s="788"/>
      <c r="C14" s="788"/>
      <c r="D14" s="788"/>
      <c r="E14" s="788"/>
      <c r="G14" s="250"/>
      <c r="M14">
        <f>[3]!SEIP1071P260F2100</f>
        <v>0</v>
      </c>
      <c r="AA14" s="50"/>
    </row>
    <row r="15" spans="1:27" ht="38.25" customHeight="1" x14ac:dyDescent="0.25">
      <c r="A15" s="217"/>
      <c r="B15" s="790" t="s">
        <v>299</v>
      </c>
      <c r="C15" s="790"/>
      <c r="D15" s="790"/>
      <c r="E15" s="790"/>
      <c r="G15" s="251"/>
      <c r="K15" s="582" t="s">
        <v>300</v>
      </c>
      <c r="L15" s="582"/>
      <c r="M15" s="582"/>
      <c r="N15" s="582"/>
      <c r="O15" s="582"/>
      <c r="P15" s="582"/>
      <c r="Q15" s="582"/>
      <c r="R15" s="582"/>
      <c r="S15" s="252" t="s">
        <v>301</v>
      </c>
      <c r="T15" s="253" t="s">
        <v>302</v>
      </c>
      <c r="AA15" s="50"/>
    </row>
    <row r="16" spans="1:27" ht="12.75" customHeight="1" x14ac:dyDescent="0.25">
      <c r="B16" s="612" t="s">
        <v>303</v>
      </c>
      <c r="K16" s="66" t="s">
        <v>24</v>
      </c>
      <c r="L16" s="788" t="s">
        <v>304</v>
      </c>
      <c r="M16" s="788"/>
      <c r="N16" s="788"/>
      <c r="O16" s="788"/>
      <c r="P16" s="788"/>
      <c r="S16" s="591">
        <f>'[3]Page 2'!$N$5</f>
        <v>1361</v>
      </c>
      <c r="T16" s="53">
        <f>'Page 2'!J37</f>
        <v>1300</v>
      </c>
      <c r="U16" s="249" t="s">
        <v>24</v>
      </c>
    </row>
    <row r="17" spans="1:21" ht="12.75" customHeight="1" x14ac:dyDescent="0.25">
      <c r="B17" t="s">
        <v>305</v>
      </c>
      <c r="C17" s="3" t="s">
        <v>16</v>
      </c>
      <c r="D17" s="26">
        <v>0</v>
      </c>
      <c r="K17" s="66" t="s">
        <v>26</v>
      </c>
      <c r="L17" s="788" t="s">
        <v>306</v>
      </c>
      <c r="M17" s="788"/>
      <c r="N17" s="788"/>
      <c r="O17" s="181"/>
      <c r="S17" s="591">
        <f>[3]!P200GiftedEducation</f>
        <v>0</v>
      </c>
      <c r="T17" s="53">
        <v>0</v>
      </c>
      <c r="U17" s="249" t="s">
        <v>26</v>
      </c>
    </row>
    <row r="18" spans="1:21" ht="12.75" customHeight="1" x14ac:dyDescent="0.25">
      <c r="B18" s="249" t="s">
        <v>307</v>
      </c>
      <c r="C18" s="3" t="s">
        <v>16</v>
      </c>
      <c r="D18" s="27">
        <v>0</v>
      </c>
      <c r="K18" s="66" t="s">
        <v>28</v>
      </c>
      <c r="L18" t="s">
        <v>308</v>
      </c>
      <c r="S18" s="595">
        <f>[3]!P200ELLIncrementalCosts</f>
        <v>0</v>
      </c>
      <c r="T18" s="53">
        <v>0</v>
      </c>
      <c r="U18" s="249" t="s">
        <v>28</v>
      </c>
    </row>
    <row r="19" spans="1:21" ht="12.75" customHeight="1" thickBot="1" x14ac:dyDescent="0.3">
      <c r="B19" t="s">
        <v>309</v>
      </c>
      <c r="C19" s="3" t="s">
        <v>16</v>
      </c>
      <c r="D19" s="254">
        <f>SUM(D17:D18)</f>
        <v>0</v>
      </c>
      <c r="E19" s="181"/>
      <c r="K19" s="66" t="s">
        <v>31</v>
      </c>
      <c r="L19" t="s">
        <v>310</v>
      </c>
      <c r="S19" s="591">
        <f>[3]!P200ELLCompensatoryInstruction</f>
        <v>0</v>
      </c>
      <c r="T19" s="53">
        <v>0</v>
      </c>
      <c r="U19" s="249" t="s">
        <v>31</v>
      </c>
    </row>
    <row r="20" spans="1:21" ht="12.75" customHeight="1" thickTop="1" x14ac:dyDescent="0.25">
      <c r="K20" s="66" t="s">
        <v>33</v>
      </c>
      <c r="L20" t="s">
        <v>311</v>
      </c>
      <c r="S20" s="591">
        <f>[3]!P200RemedialEducation</f>
        <v>0</v>
      </c>
      <c r="T20" s="53">
        <v>0</v>
      </c>
      <c r="U20" s="249" t="s">
        <v>33</v>
      </c>
    </row>
    <row r="21" spans="1:21" ht="13.2" x14ac:dyDescent="0.25">
      <c r="K21" s="66" t="s">
        <v>35</v>
      </c>
      <c r="L21" t="s">
        <v>312</v>
      </c>
      <c r="S21" s="591">
        <f>[3]!P200VocationalandTechnologicalEd</f>
        <v>0</v>
      </c>
      <c r="T21" s="53">
        <v>0</v>
      </c>
      <c r="U21" s="249" t="s">
        <v>35</v>
      </c>
    </row>
    <row r="22" spans="1:21" ht="12" customHeight="1" thickBot="1" x14ac:dyDescent="0.3">
      <c r="K22" s="66" t="s">
        <v>37</v>
      </c>
      <c r="L22" t="s">
        <v>313</v>
      </c>
      <c r="S22" s="224">
        <f>[3]!P200CareerEducation</f>
        <v>0</v>
      </c>
      <c r="T22" s="56">
        <v>0</v>
      </c>
      <c r="U22" s="249" t="s">
        <v>37</v>
      </c>
    </row>
    <row r="23" spans="1:21" ht="12.75" customHeight="1" thickBot="1" x14ac:dyDescent="0.3">
      <c r="K23" s="66" t="s">
        <v>39</v>
      </c>
      <c r="L23" s="789" t="s">
        <v>314</v>
      </c>
      <c r="M23" s="789"/>
      <c r="N23" s="789"/>
      <c r="O23" s="789"/>
      <c r="P23" s="789"/>
      <c r="Q23" s="4"/>
      <c r="S23" s="255">
        <f>SUM(S16:S22)</f>
        <v>1361</v>
      </c>
      <c r="T23" s="255">
        <f>SUM(T16:T22)</f>
        <v>1300</v>
      </c>
      <c r="U23" s="249" t="s">
        <v>39</v>
      </c>
    </row>
    <row r="24" spans="1:21" ht="12.75" customHeight="1" thickTop="1" x14ac:dyDescent="0.25">
      <c r="A24" s="3"/>
      <c r="B24" s="718"/>
      <c r="C24" s="718"/>
      <c r="D24" s="718"/>
      <c r="E24" s="718"/>
      <c r="F24" s="718"/>
      <c r="G24" s="718"/>
      <c r="H24" s="718"/>
      <c r="K24" s="66"/>
      <c r="U24" s="249"/>
    </row>
    <row r="25" spans="1:21" ht="12.75" customHeight="1" x14ac:dyDescent="0.25">
      <c r="A25" s="3"/>
      <c r="B25" s="718"/>
      <c r="C25" s="718"/>
      <c r="D25" s="718"/>
      <c r="E25" s="718"/>
      <c r="F25" s="718"/>
      <c r="G25" s="718"/>
      <c r="H25" s="718"/>
      <c r="K25" s="66" t="s">
        <v>41</v>
      </c>
      <c r="L25" s="793" t="s">
        <v>315</v>
      </c>
      <c r="M25" s="793"/>
      <c r="N25" s="793"/>
      <c r="O25" s="793"/>
      <c r="P25" s="793"/>
      <c r="Q25" s="793"/>
      <c r="R25" s="794"/>
      <c r="S25" s="791">
        <f>'[3]Page 2'!$N$14</f>
        <v>0</v>
      </c>
      <c r="T25" s="795">
        <v>0</v>
      </c>
      <c r="U25" s="249" t="s">
        <v>41</v>
      </c>
    </row>
    <row r="26" spans="1:21" ht="19.5" customHeight="1" thickBot="1" x14ac:dyDescent="0.3">
      <c r="A26" s="66"/>
      <c r="L26" s="793"/>
      <c r="M26" s="793"/>
      <c r="N26" s="793"/>
      <c r="O26" s="793"/>
      <c r="P26" s="793"/>
      <c r="Q26" s="793"/>
      <c r="R26" s="794"/>
      <c r="S26" s="792"/>
      <c r="T26" s="796"/>
    </row>
  </sheetData>
  <sheetProtection formatCells="0" formatColumns="0" formatRows="0"/>
  <mergeCells count="27">
    <mergeCell ref="S25:S26"/>
    <mergeCell ref="L25:R26"/>
    <mergeCell ref="T25:T26"/>
    <mergeCell ref="Q11:Q12"/>
    <mergeCell ref="R11:R12"/>
    <mergeCell ref="B24:H24"/>
    <mergeCell ref="B25:H25"/>
    <mergeCell ref="L17:N17"/>
    <mergeCell ref="L23:P23"/>
    <mergeCell ref="A14:E14"/>
    <mergeCell ref="B15:E15"/>
    <mergeCell ref="L16:P16"/>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s>
  <conditionalFormatting sqref="D17:D18">
    <cfRule type="expression" dxfId="47" priority="2" stopIfTrue="1">
      <formula>$D17=""</formula>
    </cfRule>
  </conditionalFormatting>
  <conditionalFormatting sqref="E8:Q10">
    <cfRule type="expression" dxfId="46" priority="5" stopIfTrue="1">
      <formula>E8=""</formula>
    </cfRule>
  </conditionalFormatting>
  <conditionalFormatting sqref="T16:T22 T25">
    <cfRule type="expression" dxfId="45" priority="3" stopIfTrue="1">
      <formula>$T16=""</formula>
    </cfRule>
  </conditionalFormatting>
  <hyperlinks>
    <hyperlink ref="K17:N17" location="TotalActualGiftedExpenses" display="15." xr:uid="{00000000-0004-0000-0700-000000000000}"/>
    <hyperlink ref="K23:P23" r:id="rId1" display="22." xr:uid="{00000000-0004-0000-0700-000001000000}"/>
    <hyperlink ref="A14:E15" location="TotalActualGiftedExpenses" display="B. EXPENSES FOR GIFTED PUPILS " xr:uid="{00000000-0004-0000-0700-000002000000}"/>
    <hyperlink ref="L16:P16" location="AllDisabilityClassifications" display="Total All Disability Classifications" xr:uid="{00000000-0004-0000-0700-000003000000}"/>
    <hyperlink ref="K25" r:id="rId2" display="22." xr:uid="{00000000-0004-0000-0700-000004000000}"/>
    <hyperlink ref="L25:R26" location="Section_C_Transportation" display="Expenses incurred for transporting students with disabilities (as defined in A.R.S. §15-761) unique to the IEP" xr:uid="{00000000-0004-0000-0700-000005000000}"/>
    <hyperlink ref="L15" location="SpecialEdProgramsByType" display="D. SPECIAL EDUCATION PROGRAMS BY TYPE" xr:uid="{00000000-0004-0000-0700-000006000000}"/>
    <hyperlink ref="S15" location="SpecialEdProgramsByType" display="Program 200 budget" xr:uid="{00000000-0004-0000-0700-000007000000}"/>
    <hyperlink ref="T15" location="SpecialEdProgramsByType" display="Program 200 actual" xr:uid="{00000000-0004-0000-0700-000008000000}"/>
    <hyperlink ref="K15:R15" location="SpecialEdProgramsByType" display="C. Special education programs by type" xr:uid="{00000000-0004-0000-0700-000009000000}"/>
  </hyperlinks>
  <pageMargins left="0.75" right="0.25" top="0.25" bottom="0.25" header="0.5" footer="0.15"/>
  <pageSetup paperSize="5" orientation="landscape" r:id="rId3"/>
  <headerFooter>
    <oddFooter>&amp;LRev. 8/24 Arizona Department of Education and Auditor General&amp;CFY 2024</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2"/>
  <sheetViews>
    <sheetView showGridLines="0" zoomScaleNormal="100" workbookViewId="0">
      <selection activeCell="F23" sqref="F23"/>
    </sheetView>
  </sheetViews>
  <sheetFormatPr defaultColWidth="9.33203125" defaultRowHeight="13.2" x14ac:dyDescent="0.25"/>
  <cols>
    <col min="1" max="1" width="21.33203125" customWidth="1"/>
    <col min="2" max="2" width="19.33203125" customWidth="1"/>
    <col min="3" max="3" width="13" customWidth="1"/>
    <col min="4" max="4" width="3.77734375" style="3" customWidth="1"/>
    <col min="5" max="12" width="13.77734375" customWidth="1"/>
    <col min="13" max="13" width="15.33203125" customWidth="1"/>
    <col min="14" max="14" width="13.7773437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x14ac:dyDescent="0.25">
      <c r="A1" s="590" t="s">
        <v>0</v>
      </c>
      <c r="B1" s="723" t="str">
        <f>'Cover Page'!D1</f>
        <v>AIBT Non-Profit Charter High School</v>
      </c>
      <c r="C1" s="723"/>
      <c r="D1" s="723"/>
      <c r="G1" s="61" t="s">
        <v>1</v>
      </c>
      <c r="H1" s="723" t="str">
        <f>'Cover Page'!M1</f>
        <v>Maricopa</v>
      </c>
      <c r="I1" s="723"/>
      <c r="M1" s="61" t="s">
        <v>2</v>
      </c>
      <c r="N1" s="610" t="str">
        <f>'Cover Page'!R1</f>
        <v>078286000</v>
      </c>
    </row>
    <row r="3" spans="1:29" x14ac:dyDescent="0.25">
      <c r="A3" s="797" t="s">
        <v>316</v>
      </c>
      <c r="B3" s="797"/>
      <c r="C3" s="797"/>
      <c r="D3" s="798"/>
      <c r="E3" s="615" t="s">
        <v>193</v>
      </c>
      <c r="F3" s="676" t="s">
        <v>317</v>
      </c>
      <c r="G3" s="615"/>
      <c r="H3" s="615" t="s">
        <v>318</v>
      </c>
      <c r="I3" s="615"/>
      <c r="J3" s="183"/>
      <c r="K3" s="182"/>
      <c r="L3" s="182" t="s">
        <v>319</v>
      </c>
      <c r="M3" s="615" t="s">
        <v>320</v>
      </c>
      <c r="N3" s="615" t="s">
        <v>196</v>
      </c>
    </row>
    <row r="4" spans="1:29" x14ac:dyDescent="0.25">
      <c r="E4" s="81" t="s">
        <v>199</v>
      </c>
      <c r="F4" s="677" t="s">
        <v>193</v>
      </c>
      <c r="G4" s="81" t="s">
        <v>21</v>
      </c>
      <c r="H4" s="81" t="s">
        <v>321</v>
      </c>
      <c r="I4" s="81" t="s">
        <v>322</v>
      </c>
      <c r="J4" s="799" t="s">
        <v>92</v>
      </c>
      <c r="K4" s="800"/>
      <c r="L4" s="256" t="s">
        <v>323</v>
      </c>
      <c r="M4" s="81" t="s">
        <v>324</v>
      </c>
      <c r="N4" s="81" t="s">
        <v>199</v>
      </c>
      <c r="AA4" s="589"/>
      <c r="AB4" s="50"/>
      <c r="AC4" s="50"/>
    </row>
    <row r="5" spans="1:29" x14ac:dyDescent="0.25">
      <c r="A5" s="590" t="s">
        <v>325</v>
      </c>
      <c r="E5" s="86" t="s">
        <v>102</v>
      </c>
      <c r="F5" s="678" t="s">
        <v>494</v>
      </c>
      <c r="G5" s="86" t="s">
        <v>102</v>
      </c>
      <c r="H5" s="86" t="s">
        <v>102</v>
      </c>
      <c r="I5" s="86" t="s">
        <v>102</v>
      </c>
      <c r="J5" s="626" t="s">
        <v>101</v>
      </c>
      <c r="K5" s="626" t="s">
        <v>23</v>
      </c>
      <c r="L5" s="86" t="s">
        <v>326</v>
      </c>
      <c r="M5" s="86" t="s">
        <v>102</v>
      </c>
      <c r="N5" s="86" t="s">
        <v>102</v>
      </c>
      <c r="T5" s="589"/>
      <c r="AB5" s="50"/>
      <c r="AC5" s="50"/>
    </row>
    <row r="6" spans="1:29" x14ac:dyDescent="0.25">
      <c r="A6" t="s">
        <v>327</v>
      </c>
      <c r="D6" s="3" t="s">
        <v>24</v>
      </c>
      <c r="E6" s="591">
        <f>[1]!FP11001130EndBal</f>
        <v>0</v>
      </c>
      <c r="F6" s="53">
        <v>0</v>
      </c>
      <c r="G6" s="591">
        <f>-(SUMIFS('Accounting data'!$G$2:$G$37003,'Accounting data'!$H$2:$H$37003,"1100*",'Accounting data'!$K$2:$K$37003,"1*")+SUMIFS('Accounting data'!$G$2:$G$37003,'Accounting data'!$H$2:$H$37003,"1100*",'Accounting data'!$K$2:$K$37003,"2*")+SUMIFS('Accounting data'!$G$2:$G$37003,'Accounting data'!$H$2:$H$37003,"1100*",'Accounting data'!$K$2:$K$37003,"3*")+SUMIFS('Accounting data'!$G$2:$G$37003,'Accounting data'!$H$2:$H$37003,"1100*",'Accounting data'!$K$2:$K$37003,"4*")+SUMIFS('Accounting data'!$G$2:$G$37003,'Accounting data'!$H$2:$H$37003,"1100*",'Accounting data'!$K$2:$K$37003,"Other*"))</f>
        <v>0</v>
      </c>
      <c r="H6" s="593">
        <f>SUMIFS('Accounting data'!$G$2:$G$37003,'Accounting data'!$H$2:$H$37003,"1100*",'Accounting data'!$K$2:$K$37003,"69*")</f>
        <v>0</v>
      </c>
      <c r="I6" s="51">
        <v>0</v>
      </c>
      <c r="J6" s="591">
        <f>[3]!FP11001130TitleI</f>
        <v>0</v>
      </c>
      <c r="K6" s="593">
        <f>SUMIFS('Accounting data'!$G$2:$G$37003,'Accounting data'!$H$2:$H$37003,"1100*",'Accounting data'!$K$2:$K$37003,"6*")-SUMIFS('Accounting data'!$G$2:$G$37003,'Accounting data'!$H$2:$H$37003,"1100*",'Accounting data'!$K$2:$K$37003,"69*")-SUMIFS('Accounting data'!$G$2:$G$37003,'Accounting data'!$H$2:$H$37003,"1100*",'Accounting data'!$K$2:$K$37003,"67*")</f>
        <v>0</v>
      </c>
      <c r="L6" s="257"/>
      <c r="M6" s="51">
        <v>0</v>
      </c>
      <c r="N6" s="593">
        <f>SUM(IF(F6="",E6,F6)+G6-H6-I6-K6-M6)</f>
        <v>0</v>
      </c>
      <c r="O6" s="223" t="s">
        <v>24</v>
      </c>
      <c r="P6" s="28"/>
      <c r="AB6" s="50"/>
      <c r="AC6" s="50" t="str">
        <f>IF(OR(I6="",I7="",I8="",I9="",I10="",I11="",I12="",I13="",I14="",I15="",I16="",I17="",I18="",I19="",I20="",I21="",I22=""),"yes","")</f>
        <v/>
      </c>
    </row>
    <row r="7" spans="1:29" x14ac:dyDescent="0.25">
      <c r="A7" t="s">
        <v>328</v>
      </c>
      <c r="D7" s="3" t="s">
        <v>26</v>
      </c>
      <c r="E7" s="591">
        <f>[1]!FP11401150EndBal</f>
        <v>0</v>
      </c>
      <c r="F7" s="53">
        <v>0</v>
      </c>
      <c r="G7" s="591">
        <f>-(SUMIFS('Accounting data'!$G$2:$G$37003,'Accounting data'!$H$2:$H$37003,"1140*",'Accounting data'!$K$2:$K$37003,"1*")+SUMIFS('Accounting data'!$G$2:$G$37003,'Accounting data'!$H$2:$H$37003,"1140*",'Accounting data'!$K$2:$K$37003,"2*")+SUMIFS('Accounting data'!$G$2:$G$37003,'Accounting data'!$H$2:$H$37003,"1140*",'Accounting data'!$K$2:$K$37003,"3*")+SUMIFS('Accounting data'!$G$2:$G$37003,'Accounting data'!$H$2:$H$37003,"1140*",'Accounting data'!$K$2:$K$37003,"4*")+SUMIFS('Accounting data'!$G$2:$G$37003,'Accounting data'!$H$2:$H$37003,"1140*",'Accounting data'!$K$2:$K$37003,"Other*"))</f>
        <v>0</v>
      </c>
      <c r="H7" s="593">
        <f>SUMIFS('Accounting data'!$G$2:$G$37003,'Accounting data'!$H$2:$H$37003,"1140*",'Accounting data'!$K$2:$K$37003,"69*")</f>
        <v>0</v>
      </c>
      <c r="I7" s="51">
        <v>0</v>
      </c>
      <c r="J7" s="591">
        <f>[3]!FP11401150TitleII</f>
        <v>0</v>
      </c>
      <c r="K7" s="593">
        <f>SUMIFS('Accounting data'!$G$2:$G$37003,'Accounting data'!$H$2:$H$37003,"1140*",'Accounting data'!$K$2:$K$37003,"6*")-SUMIFS('Accounting data'!$G$2:$G$37003,'Accounting data'!$H$2:$H$37003,"1140*",'Accounting data'!$K$2:$K$37003,"69*")-SUMIFS('Accounting data'!$G$2:$G$37003,'Accounting data'!$H$2:$H$37003,"1140*",'Accounting data'!$K$2:$K$37003,"67*")</f>
        <v>0</v>
      </c>
      <c r="L7" s="257"/>
      <c r="M7" s="51">
        <v>0</v>
      </c>
      <c r="N7" s="593">
        <f>SUM(IF(F7="",E7,F7)+G7-H7-I7-K7-M7)</f>
        <v>0</v>
      </c>
      <c r="O7" t="s">
        <v>26</v>
      </c>
      <c r="AB7" s="50"/>
      <c r="AC7" s="50" t="str">
        <f>IF(OR(M6="",M7="",M8="",M9="",M10="",M11="",M12="",M13="",M14="",M15="",M16="",M17="",M18="",M19="",M20="",M21="",M22=""),"yes","")</f>
        <v/>
      </c>
    </row>
    <row r="8" spans="1:29" x14ac:dyDescent="0.25">
      <c r="A8" t="s">
        <v>329</v>
      </c>
      <c r="D8" s="3" t="s">
        <v>28</v>
      </c>
      <c r="E8" s="591">
        <f>[1]!FP1160EndBal</f>
        <v>0</v>
      </c>
      <c r="F8" s="53">
        <v>0</v>
      </c>
      <c r="G8" s="591">
        <f>-(SUMIFS('Accounting data'!$G$2:$G$37003,'Accounting data'!$H$2:$H$37003,"1160*",'Accounting data'!$K$2:$K$37003,"1*")+SUMIFS('Accounting data'!$G$2:$G$37003,'Accounting data'!$H$2:$H$37003,"1160*",'Accounting data'!$K$2:$K$37003,"2*")+SUMIFS('Accounting data'!$G$2:$G$37003,'Accounting data'!$H$2:$H$37003,"1160*",'Accounting data'!$K$2:$K$37003,"3*")+SUMIFS('Accounting data'!$G$2:$G$37003,'Accounting data'!$H$2:$H$37003,"1160*",'Accounting data'!$K$2:$K$37003,"4*")+SUMIFS('Accounting data'!$G$2:$G$37003,'Accounting data'!$H$2:$H$37003,"1160*",'Accounting data'!$K$2:$K$37003,"Other*"))</f>
        <v>0</v>
      </c>
      <c r="H8" s="593">
        <f>SUMIFS('Accounting data'!$G$2:$G$37003,'Accounting data'!$H$2:$H$37003,"1160*",'Accounting data'!$K$2:$K$37003,"69*")</f>
        <v>0</v>
      </c>
      <c r="I8" s="51">
        <v>0</v>
      </c>
      <c r="J8" s="591">
        <f>[3]!FP1160TitleIV</f>
        <v>0</v>
      </c>
      <c r="K8" s="593">
        <f>SUMIFS('Accounting data'!$G$2:$G$37003,'Accounting data'!$H$2:$H$37003,"1160*",'Accounting data'!$K$2:$K$37003,"6*")-SUMIFS('Accounting data'!$G$2:$G$37003,'Accounting data'!$H$2:$H$37003,"1160*",'Accounting data'!$K$2:$K$37003,"69*")-SUMIFS('Accounting data'!$G$2:$G$37003,'Accounting data'!$H$2:$H$37003,"1160*",'Accounting data'!$K$2:$K$37003,"67*")</f>
        <v>0</v>
      </c>
      <c r="L8" s="257"/>
      <c r="M8" s="51">
        <v>0</v>
      </c>
      <c r="N8" s="593">
        <f t="shared" ref="N8:N21" si="0">SUM(IF(F8="",E8,F8)+G8-H8-I8-K8-M8)</f>
        <v>0</v>
      </c>
      <c r="O8" t="s">
        <v>28</v>
      </c>
      <c r="AB8" s="50"/>
      <c r="AC8" s="50" t="str">
        <f>IF(OR(I25="",J25="",M25=""),"yes","")</f>
        <v>yes</v>
      </c>
    </row>
    <row r="9" spans="1:29" x14ac:dyDescent="0.25">
      <c r="A9" t="s">
        <v>330</v>
      </c>
      <c r="D9" s="3" t="s">
        <v>31</v>
      </c>
      <c r="E9" s="591">
        <f>[1]!FP11701180EndBal</f>
        <v>0</v>
      </c>
      <c r="F9" s="53">
        <v>0</v>
      </c>
      <c r="G9" s="591">
        <f>-(SUMIFS('Accounting data'!$G$2:$G$37003,'Accounting data'!$H$2:$H$37003,"1170*",'Accounting data'!$K$2:$K$37003,"1*")+SUMIFS('Accounting data'!$G$2:$G$37003,'Accounting data'!$H$2:$H$37003,"1170*",'Accounting data'!$K$2:$K$37003,"2*")+SUMIFS('Accounting data'!$G$2:$G$37003,'Accounting data'!$H$2:$H$37003,"1170*",'Accounting data'!$K$2:$K$37003,"3*")+SUMIFS('Accounting data'!$G$2:$G$37003,'Accounting data'!$H$2:$H$37003,"1170*",'Accounting data'!$K$2:$K$37003,"4*")+SUMIFS('Accounting data'!$G$2:$G$37003,'Accounting data'!$H$2:$H$37003,"1170*",'Accounting data'!$K$2:$K$37003,"Other*"))</f>
        <v>0</v>
      </c>
      <c r="H9" s="593">
        <f>SUMIFS('Accounting data'!$G$2:$G$37003,'Accounting data'!$H$2:$H$37003,"1170*",'Accounting data'!$K$2:$K$37003,"69*")</f>
        <v>0</v>
      </c>
      <c r="I9" s="51">
        <v>0</v>
      </c>
      <c r="J9" s="591">
        <f>[3]!FP11701180TitleV</f>
        <v>0</v>
      </c>
      <c r="K9" s="593">
        <f>SUMIFS('Accounting data'!$G$2:$G$37003,'Accounting data'!$H$2:$H$37003,"1170*",'Accounting data'!$K$2:$K$37003,"6*")-SUMIFS('Accounting data'!$G$2:$G$37003,'Accounting data'!$H$2:$H$37003,"1170*",'Accounting data'!$K$2:$K$37003,"69*")-SUMIFS('Accounting data'!$G$2:$G$37003,'Accounting data'!$H$2:$H$37003,"1170*",'Accounting data'!$K$2:$K$37003,"67*")</f>
        <v>0</v>
      </c>
      <c r="L9" s="257"/>
      <c r="M9" s="51">
        <v>0</v>
      </c>
      <c r="N9" s="593">
        <f t="shared" si="0"/>
        <v>0</v>
      </c>
      <c r="O9" t="s">
        <v>31</v>
      </c>
      <c r="AB9" s="50"/>
      <c r="AC9" s="50" t="str">
        <f>IF(OR(I28="",I29="",I30="",I31="",I32="",I33="",I34="",I35="",I36="",I37="",I38="",I39=""),"yes","")</f>
        <v/>
      </c>
    </row>
    <row r="10" spans="1:29" x14ac:dyDescent="0.25">
      <c r="A10" t="s">
        <v>331</v>
      </c>
      <c r="D10" s="3" t="s">
        <v>33</v>
      </c>
      <c r="E10" s="591">
        <f>[1]!FP1190EndBal</f>
        <v>0</v>
      </c>
      <c r="F10" s="53">
        <v>0</v>
      </c>
      <c r="G10" s="591">
        <f>-(SUMIFS('Accounting data'!$G$2:$G$37003,'Accounting data'!$H$2:$H$37003,"1190*",'Accounting data'!$K$2:$K$37003,"1*")+SUMIFS('Accounting data'!$G$2:$G$37003,'Accounting data'!$H$2:$H$37003,"1190*",'Accounting data'!$K$2:$K$37003,"2*")+SUMIFS('Accounting data'!$G$2:$G$37003,'Accounting data'!$H$2:$H$37003,"1190*",'Accounting data'!$K$2:$K$37003,"3*")+SUMIFS('Accounting data'!$G$2:$G$37003,'Accounting data'!$H$2:$H$37003,"1190*",'Accounting data'!$K$2:$K$37003,"4*")+SUMIFS('Accounting data'!$G$2:$G$37003,'Accounting data'!$H$2:$H$37003,"1190*",'Accounting data'!$K$2:$K$37003,"Other*"))</f>
        <v>0</v>
      </c>
      <c r="H10" s="593">
        <f>SUMIFS('Accounting data'!$G$2:$G$37003,'Accounting data'!$H$2:$H$37003,"1190*",'Accounting data'!$K$2:$K$37003,"69*")</f>
        <v>0</v>
      </c>
      <c r="I10" s="51">
        <v>0</v>
      </c>
      <c r="J10" s="591">
        <f>[3]!FP1190TitleIII</f>
        <v>0</v>
      </c>
      <c r="K10" s="593">
        <f>SUMIFS('Accounting data'!$G$2:$G$37003,'Accounting data'!$H$2:$H$37003,"1190*",'Accounting data'!$K$2:$K$37003,"6*")-SUMIFS('Accounting data'!$G$2:$G$37003,'Accounting data'!$H$2:$H$37003,"1190*",'Accounting data'!$K$2:$K$37003,"69*")-SUMIFS('Accounting data'!$G$2:$G$37003,'Accounting data'!$H$2:$H$37003,"1190*",'Accounting data'!$K$2:$K$37003,"67*")</f>
        <v>0</v>
      </c>
      <c r="L10" s="257"/>
      <c r="M10" s="51">
        <v>0</v>
      </c>
      <c r="N10" s="593">
        <f t="shared" si="0"/>
        <v>0</v>
      </c>
      <c r="O10" t="s">
        <v>33</v>
      </c>
      <c r="AB10" s="50"/>
      <c r="AC10" s="50" t="str">
        <f>IF(OR(M28="",M29="",M30="",M31="",M32="",M33="",M34="",M35="",M36="",M37="",M38="",M39=""),"yes","")</f>
        <v/>
      </c>
    </row>
    <row r="11" spans="1:29" x14ac:dyDescent="0.25">
      <c r="A11" t="s">
        <v>332</v>
      </c>
      <c r="D11" s="3" t="s">
        <v>35</v>
      </c>
      <c r="E11" s="591">
        <f>[1]!FP1200EndBal</f>
        <v>0</v>
      </c>
      <c r="F11" s="53">
        <v>0</v>
      </c>
      <c r="G11" s="591">
        <f>-(SUMIFS('Accounting data'!$G$2:$G$37003,'Accounting data'!$H$2:$H$37003,"1200*",'Accounting data'!$K$2:$K$37003,"1*")+SUMIFS('Accounting data'!$G$2:$G$37003,'Accounting data'!$H$2:$H$37003,"1200*",'Accounting data'!$K$2:$K$37003,"2*")+SUMIFS('Accounting data'!$G$2:$G$37003,'Accounting data'!$H$2:$H$37003,"1200*",'Accounting data'!$K$2:$K$37003,"3*")+SUMIFS('Accounting data'!$G$2:$G$37003,'Accounting data'!$H$2:$H$37003,"1200*",'Accounting data'!$K$2:$K$37003,"4*")+SUMIFS('Accounting data'!$G$2:$G$37003,'Accounting data'!$H$2:$H$37003,"1200*",'Accounting data'!$K$2:$K$37003,"Other*"))</f>
        <v>0</v>
      </c>
      <c r="H11" s="593">
        <f>SUMIFS('Accounting data'!$G$2:$G$37003,'Accounting data'!$H$2:$H$37003,"1200*",'Accounting data'!$K$2:$K$37003,"69*")</f>
        <v>0</v>
      </c>
      <c r="I11" s="51">
        <v>0</v>
      </c>
      <c r="J11" s="591">
        <f>[3]!FP1200TitleVII</f>
        <v>0</v>
      </c>
      <c r="K11" s="593">
        <f>SUMIFS('Accounting data'!$G$2:$G$37003,'Accounting data'!$H$2:$H$37003,"1200*",'Accounting data'!$K$2:$K$37003,"6*")-SUMIFS('Accounting data'!$G$2:$G$37003,'Accounting data'!$H$2:$H$37003,"1200*",'Accounting data'!$K$2:$K$37003,"69*")-SUMIFS('Accounting data'!$G$2:$G$37003,'Accounting data'!$H$2:$H$37003,"1200*",'Accounting data'!$K$2:$K$37003,"67*")</f>
        <v>0</v>
      </c>
      <c r="L11" s="257"/>
      <c r="M11" s="51">
        <v>0</v>
      </c>
      <c r="N11" s="593">
        <f t="shared" si="0"/>
        <v>0</v>
      </c>
      <c r="O11" t="s">
        <v>35</v>
      </c>
      <c r="AB11" s="50"/>
      <c r="AC11" s="50" t="str">
        <f>IF(AND(AC6="",AC8="",AC9="",AC7="",AC10=""),"","yes")</f>
        <v>yes</v>
      </c>
    </row>
    <row r="12" spans="1:29" x14ac:dyDescent="0.25">
      <c r="A12" t="s">
        <v>333</v>
      </c>
      <c r="D12" s="3" t="s">
        <v>37</v>
      </c>
      <c r="E12" s="591">
        <f>[1]!FP1210EndBal</f>
        <v>0</v>
      </c>
      <c r="F12" s="53">
        <v>0</v>
      </c>
      <c r="G12" s="591">
        <f>-(SUMIFS('Accounting data'!$G$2:$G$37003,'Accounting data'!$H$2:$H$37003,"1210*",'Accounting data'!$K$2:$K$37003,"1*")+SUMIFS('Accounting data'!$G$2:$G$37003,'Accounting data'!$H$2:$H$37003,"1210*",'Accounting data'!$K$2:$K$37003,"2*")+SUMIFS('Accounting data'!$G$2:$G$37003,'Accounting data'!$H$2:$H$37003,"1210*",'Accounting data'!$K$2:$K$37003,"3*")+SUMIFS('Accounting data'!$G$2:$G$37003,'Accounting data'!$H$2:$H$37003,"1210*",'Accounting data'!$K$2:$K$37003,"4*")+SUMIFS('Accounting data'!$G$2:$G$37003,'Accounting data'!$H$2:$H$37003,"1210*",'Accounting data'!$K$2:$K$37003,"Other*"))</f>
        <v>0</v>
      </c>
      <c r="H12" s="593">
        <f>SUMIFS('Accounting data'!$G$2:$G$37003,'Accounting data'!$H$2:$H$37003,"1210*",'Accounting data'!$K$2:$K$37003,"69*")</f>
        <v>0</v>
      </c>
      <c r="I12" s="51">
        <v>0</v>
      </c>
      <c r="J12" s="591">
        <f>[3]!FP1210TitleVI</f>
        <v>0</v>
      </c>
      <c r="K12" s="593">
        <f>SUMIFS('Accounting data'!$G$2:$G$37003,'Accounting data'!$H$2:$H$37003,"1210*",'Accounting data'!$K$2:$K$37003,"6*")-SUMIFS('Accounting data'!$G$2:$G$37003,'Accounting data'!$H$2:$H$37003,"1210*",'Accounting data'!$K$2:$K$37003,"69*")-SUMIFS('Accounting data'!$G$2:$G$37003,'Accounting data'!$H$2:$H$37003,"1210*",'Accounting data'!$K$2:$K$37003,"67*")</f>
        <v>0</v>
      </c>
      <c r="L12" s="257"/>
      <c r="M12" s="51">
        <v>0</v>
      </c>
      <c r="N12" s="593">
        <f t="shared" si="0"/>
        <v>0</v>
      </c>
      <c r="O12" t="s">
        <v>37</v>
      </c>
      <c r="AB12" s="50"/>
      <c r="AC12" s="50"/>
    </row>
    <row r="13" spans="1:29" x14ac:dyDescent="0.25">
      <c r="A13" t="s">
        <v>334</v>
      </c>
      <c r="D13" s="3" t="s">
        <v>39</v>
      </c>
      <c r="E13" s="591">
        <f>[1]!FP1220EndBal</f>
        <v>0</v>
      </c>
      <c r="F13" s="53">
        <v>0</v>
      </c>
      <c r="G13" s="591">
        <f>-(SUMIFS('Accounting data'!$G$2:$G$37003,'Accounting data'!$H$2:$H$37003,"122*",'Accounting data'!$K$2:$K$37003,"1*")+SUMIFS('Accounting data'!$G$2:$G$37003,'Accounting data'!$H$2:$H$37003,"122*",'Accounting data'!$K$2:$K$37003,"2*")+SUMIFS('Accounting data'!$G$2:$G$37003,'Accounting data'!$H$2:$H$37003,"122*",'Accounting data'!$K$2:$K$37003,"3*")+SUMIFS('Accounting data'!$G$2:$G$37003,'Accounting data'!$H$2:$H$37003,"122*",'Accounting data'!$K$2:$K$37003,"4*")+SUMIFS('Accounting data'!$G$2:$G$37003,'Accounting data'!$H$2:$H$37003,"122*",'Accounting data'!$K$2:$K$37003,"Other*"))</f>
        <v>1843</v>
      </c>
      <c r="H13" s="591">
        <f>SUMIFS('Accounting data'!$G$2:$G$37003,'Accounting data'!$H$2:$H$37003,"122*",'Accounting data'!$K$2:$K$37003,"69*")</f>
        <v>0</v>
      </c>
      <c r="I13" s="51">
        <v>0</v>
      </c>
      <c r="J13" s="591">
        <f>[3]!FP1220IDEA</f>
        <v>1643</v>
      </c>
      <c r="K13" s="593">
        <f>SUMIFS('Accounting data'!$G$2:$G$37003,'Accounting data'!$H$2:$H$37003,"122*",'Accounting data'!$K$2:$K$37003,"6*")-SUMIFS('Accounting data'!$G$2:$G$37003,'Accounting data'!$H$2:$H$37003,"122*",'Accounting data'!$K$2:$K$37003,"69*")-SUMIFS('Accounting data'!$G$2:$G$37003,'Accounting data'!$H$2:$H$37003,"122*",'Accounting data'!$K$2:$K$37003,"67*")</f>
        <v>1843</v>
      </c>
      <c r="L13" s="257"/>
      <c r="M13" s="51">
        <v>0</v>
      </c>
      <c r="N13" s="593">
        <f t="shared" si="0"/>
        <v>0</v>
      </c>
      <c r="O13" t="s">
        <v>39</v>
      </c>
      <c r="AB13" s="50"/>
      <c r="AC13" s="50"/>
    </row>
    <row r="14" spans="1:29" x14ac:dyDescent="0.25">
      <c r="A14" t="s">
        <v>335</v>
      </c>
      <c r="D14" s="3" t="s">
        <v>41</v>
      </c>
      <c r="E14" s="591">
        <f>[1]!FP1230EndBal</f>
        <v>0</v>
      </c>
      <c r="F14" s="53">
        <v>0</v>
      </c>
      <c r="G14" s="591">
        <f>-(SUMIFS('Accounting data'!$G$2:$G$37003,'Accounting data'!$H$2:$H$37003,"1230*",'Accounting data'!$K$2:$K$37003,"1*")+SUMIFS('Accounting data'!$G$2:$G$37003,'Accounting data'!$H$2:$H$37003,"1230*",'Accounting data'!$K$2:$K$37003,"2*")+SUMIFS('Accounting data'!$G$2:$G$37003,'Accounting data'!$H$2:$H$37003,"1230*",'Accounting data'!$K$2:$K$37003,"3*")+SUMIFS('Accounting data'!$G$2:$G$37003,'Accounting data'!$H$2:$H$37003,"1230*",'Accounting data'!$K$2:$K$37003,"4*")+SUMIFS('Accounting data'!$G$2:$G$37003,'Accounting data'!$H$2:$H$37003,"1230*",'Accounting data'!$K$2:$K$37003,"Other*"))</f>
        <v>0</v>
      </c>
      <c r="H14" s="593">
        <f>SUMIFS('Accounting data'!$G$2:$G$37003,'Accounting data'!$H$2:$H$37003,"1230*",'Accounting data'!$K$2:$K$37003,"69*")</f>
        <v>0</v>
      </c>
      <c r="I14" s="51">
        <v>0</v>
      </c>
      <c r="J14" s="591">
        <f>[3]!FP1230Johnson</f>
        <v>0</v>
      </c>
      <c r="K14" s="593">
        <f>SUMIFS('Accounting data'!$G$2:$G$37003,'Accounting data'!$H$2:$H$37003,"1230*",'Accounting data'!$K$2:$K$37003,"6*")-SUMIFS('Accounting data'!$G$2:$G$37003,'Accounting data'!$H$2:$H$37003,"1230*",'Accounting data'!$K$2:$K$37003,"69*")-SUMIFS('Accounting data'!$G$2:$G$37003,'Accounting data'!$H$2:$H$37003,"1230*",'Accounting data'!$K$2:$K$37003,"67*")</f>
        <v>0</v>
      </c>
      <c r="L14" s="257"/>
      <c r="M14" s="51">
        <v>0</v>
      </c>
      <c r="N14" s="593">
        <f t="shared" si="0"/>
        <v>0</v>
      </c>
      <c r="O14" t="s">
        <v>41</v>
      </c>
      <c r="AB14" s="50"/>
      <c r="AC14" s="50"/>
    </row>
    <row r="15" spans="1:29" x14ac:dyDescent="0.25">
      <c r="A15" t="s">
        <v>336</v>
      </c>
      <c r="D15" s="3" t="s">
        <v>43</v>
      </c>
      <c r="E15" s="591">
        <f>[1]!FP1240EndBal</f>
        <v>0</v>
      </c>
      <c r="F15" s="53">
        <v>0</v>
      </c>
      <c r="G15" s="591">
        <f>-(SUMIFS('Accounting data'!$G$2:$G$37003,'Accounting data'!$H$2:$H$37003,"1240*",'Accounting data'!$K$2:$K$37003,"1*")+SUMIFS('Accounting data'!$G$2:$G$37003,'Accounting data'!$H$2:$H$37003,"1240*",'Accounting data'!$K$2:$K$37003,"2*")+SUMIFS('Accounting data'!$G$2:$G$37003,'Accounting data'!$H$2:$H$37003,"1240*",'Accounting data'!$K$2:$K$37003,"3*")+SUMIFS('Accounting data'!$G$2:$G$37003,'Accounting data'!$H$2:$H$37003,"1240*",'Accounting data'!$K$2:$K$37003,"4*")+SUMIFS('Accounting data'!$G$2:$G$37003,'Accounting data'!$H$2:$H$37003,"1240*",'Accounting data'!$K$2:$K$37003,"Other*"))</f>
        <v>0</v>
      </c>
      <c r="H15" s="593">
        <f>SUMIFS('Accounting data'!$G$2:$G$37003,'Accounting data'!$H$2:$H$37003,"1240*",'Accounting data'!$K$2:$K$37003,"69*")</f>
        <v>0</v>
      </c>
      <c r="I15" s="51">
        <v>0</v>
      </c>
      <c r="J15" s="591">
        <f>[3]!FP1240WIA</f>
        <v>0</v>
      </c>
      <c r="K15" s="593">
        <f>SUMIFS('Accounting data'!$G$2:$G$37003,'Accounting data'!$H$2:$H$37003,"1240*",'Accounting data'!$K$2:$K$37003,"6*")-SUMIFS('Accounting data'!$G$2:$G$37003,'Accounting data'!$H$2:$H$37003,"1240*",'Accounting data'!$K$2:$K$37003,"69*")-SUMIFS('Accounting data'!$G$2:$G$37003,'Accounting data'!$H$2:$H$37003,"1240*",'Accounting data'!$K$2:$K$37003,"67*")</f>
        <v>0</v>
      </c>
      <c r="L15" s="257"/>
      <c r="M15" s="51">
        <v>0</v>
      </c>
      <c r="N15" s="593">
        <f t="shared" si="0"/>
        <v>0</v>
      </c>
      <c r="O15" t="s">
        <v>43</v>
      </c>
      <c r="AB15" s="50"/>
      <c r="AC15" s="50"/>
    </row>
    <row r="16" spans="1:29" x14ac:dyDescent="0.25">
      <c r="A16" t="s">
        <v>337</v>
      </c>
      <c r="D16" s="3" t="s">
        <v>45</v>
      </c>
      <c r="E16" s="591">
        <f>[1]!FP1250EndBal</f>
        <v>0</v>
      </c>
      <c r="F16" s="53">
        <v>0</v>
      </c>
      <c r="G16" s="591">
        <f>-(SUMIFS('Accounting data'!$G$2:$G$37003,'Accounting data'!$H$2:$H$37003,"1250*",'Accounting data'!$K$2:$K$37003,"1*")+SUMIFS('Accounting data'!$G$2:$G$37003,'Accounting data'!$H$2:$H$37003,"1250*",'Accounting data'!$K$2:$K$37003,"2*")+SUMIFS('Accounting data'!$G$2:$G$37003,'Accounting data'!$H$2:$H$37003,"1250*",'Accounting data'!$K$2:$K$37003,"3*")+SUMIFS('Accounting data'!$G$2:$G$37003,'Accounting data'!$H$2:$H$37003,"1250*",'Accounting data'!$K$2:$K$37003,"4*")+SUMIFS('Accounting data'!$G$2:$G$37003,'Accounting data'!$H$2:$H$37003,"1250*",'Accounting data'!$K$2:$K$37003,"Other*"))</f>
        <v>0</v>
      </c>
      <c r="H16" s="593">
        <f>SUMIFS('Accounting data'!$G$2:$G$37003,'Accounting data'!$H$2:$H$37003,"1250*",'Accounting data'!$K$2:$K$37003,"69*")</f>
        <v>0</v>
      </c>
      <c r="I16" s="51">
        <v>0</v>
      </c>
      <c r="J16" s="591">
        <f>[3]!FP1250AEA</f>
        <v>0</v>
      </c>
      <c r="K16" s="593">
        <f>SUMIFS('Accounting data'!$G$2:$G$37003,'Accounting data'!$H$2:$H$37003,"1250*",'Accounting data'!$K$2:$K$37003,"6*")-SUMIFS('Accounting data'!$G$2:$G$37003,'Accounting data'!$H$2:$H$37003,"1250*",'Accounting data'!$K$2:$K$37003,"69*")-SUMIFS('Accounting data'!$G$2:$G$37003,'Accounting data'!$H$2:$H$37003,"1250*",'Accounting data'!$K$2:$K$37003,"67*")</f>
        <v>0</v>
      </c>
      <c r="L16" s="257"/>
      <c r="M16" s="51">
        <v>0</v>
      </c>
      <c r="N16" s="593">
        <f t="shared" si="0"/>
        <v>0</v>
      </c>
      <c r="O16" t="s">
        <v>45</v>
      </c>
      <c r="AB16" s="50"/>
      <c r="AC16" s="50"/>
    </row>
    <row r="17" spans="1:26" x14ac:dyDescent="0.25">
      <c r="A17" t="s">
        <v>338</v>
      </c>
      <c r="D17" s="3" t="s">
        <v>47</v>
      </c>
      <c r="E17" s="591">
        <f>[1]!FP1260EndBal</f>
        <v>0</v>
      </c>
      <c r="F17" s="53">
        <v>0</v>
      </c>
      <c r="G17" s="591">
        <f>-(SUMIFS('Accounting data'!$G$2:$G$37003,'Accounting data'!$H$2:$H$37003,"1260*",'Accounting data'!$K$2:$K$37003,"1*")+SUMIFS('Accounting data'!$G$2:$G$37003,'Accounting data'!$H$2:$H$37003,"1260*",'Accounting data'!$K$2:$K$37003,"2*")+SUMIFS('Accounting data'!$G$2:$G$37003,'Accounting data'!$H$2:$H$37003,"1260*",'Accounting data'!$K$2:$K$37003,"3*")+SUMIFS('Accounting data'!$G$2:$G$37003,'Accounting data'!$H$2:$H$37003,"1260*",'Accounting data'!$K$2:$K$37003,"4*")+SUMIFS('Accounting data'!$G$2:$G$37003,'Accounting data'!$H$2:$H$37003,"1260*",'Accounting data'!$K$2:$K$37003,"Other*"))</f>
        <v>0</v>
      </c>
      <c r="H17" s="593">
        <f>SUMIFS('Accounting data'!$G$2:$G$37003,'Accounting data'!$H$2:$H$37003,"1260*",'Accounting data'!$K$2:$K$37003,"69*")</f>
        <v>0</v>
      </c>
      <c r="I17" s="51">
        <v>0</v>
      </c>
      <c r="J17" s="591">
        <f>[3]!FP12601270VocEd</f>
        <v>0</v>
      </c>
      <c r="K17" s="593">
        <f>SUMIFS('Accounting data'!$G$2:$G$37003,'Accounting data'!$H$2:$H$37003,"1260*",'Accounting data'!$K$2:$K$37003,"6*")-SUMIFS('Accounting data'!$G$2:$G$37003,'Accounting data'!$H$2:$H$37003,"1260*",'Accounting data'!$K$2:$K$37003,"69*")-SUMIFS('Accounting data'!$G$2:$G$37003,'Accounting data'!$H$2:$H$37003,"1260*",'Accounting data'!$K$2:$K$37003,"67*")</f>
        <v>0</v>
      </c>
      <c r="L17" s="257"/>
      <c r="M17" s="51">
        <v>0</v>
      </c>
      <c r="N17" s="593">
        <f t="shared" si="0"/>
        <v>0</v>
      </c>
      <c r="O17" t="s">
        <v>47</v>
      </c>
    </row>
    <row r="18" spans="1:26" x14ac:dyDescent="0.25">
      <c r="A18" t="s">
        <v>339</v>
      </c>
      <c r="D18" s="3" t="s">
        <v>49</v>
      </c>
      <c r="E18" s="591">
        <f>[1]!FP1280EndBal</f>
        <v>0</v>
      </c>
      <c r="F18" s="53">
        <v>0</v>
      </c>
      <c r="G18" s="591">
        <f>-(SUMIFS('Accounting data'!$G$2:$G$37003,'Accounting data'!$H$2:$H$37003,"1280*",'Accounting data'!$K$2:$K$37003,"1*")+SUMIFS('Accounting data'!$G$2:$G$37003,'Accounting data'!$H$2:$H$37003,"1280*",'Accounting data'!$K$2:$K$37003,"2*")+SUMIFS('Accounting data'!$G$2:$G$37003,'Accounting data'!$H$2:$H$37003,"1280*",'Accounting data'!$K$2:$K$37003,"3*")+SUMIFS('Accounting data'!$G$2:$G$37003,'Accounting data'!$H$2:$H$37003,"1280*",'Accounting data'!$K$2:$K$37003,"4*")+SUMIFS('Accounting data'!$G$2:$G$37003,'Accounting data'!$H$2:$H$37003,"1280*",'Accounting data'!$K$2:$K$37003,"Other*"))</f>
        <v>0</v>
      </c>
      <c r="H18" s="593">
        <f>SUMIFS('Accounting data'!$G$2:$G$37003,'Accounting data'!$H$2:$H$37003,"1280*",'Accounting data'!$K$2:$K$37003,"69*")</f>
        <v>0</v>
      </c>
      <c r="I18" s="51">
        <v>0</v>
      </c>
      <c r="J18" s="591">
        <f>[3]!FP1280TitleX</f>
        <v>0</v>
      </c>
      <c r="K18" s="593">
        <f>SUMIFS('Accounting data'!$G$2:$G$37003,'Accounting data'!$H$2:$H$37003,"1280*",'Accounting data'!$K$2:$K$37003,"6*")-SUMIFS('Accounting data'!$G$2:$G$37003,'Accounting data'!$H$2:$H$37003,"1280*",'Accounting data'!$K$2:$K$37003,"69*")-SUMIFS('Accounting data'!$G$2:$G$37003,'Accounting data'!$H$2:$H$37003,"1280*",'Accounting data'!$K$2:$K$37003,"67*")</f>
        <v>0</v>
      </c>
      <c r="L18" s="257"/>
      <c r="M18" s="51">
        <v>0</v>
      </c>
      <c r="N18" s="593">
        <f t="shared" si="0"/>
        <v>0</v>
      </c>
      <c r="O18" t="s">
        <v>49</v>
      </c>
      <c r="P18" s="589"/>
    </row>
    <row r="19" spans="1:26" x14ac:dyDescent="0.25">
      <c r="A19" t="s">
        <v>340</v>
      </c>
      <c r="D19" s="3" t="s">
        <v>51</v>
      </c>
      <c r="E19" s="591">
        <f>[1]!FP1290EndBal</f>
        <v>0</v>
      </c>
      <c r="F19" s="53">
        <v>0</v>
      </c>
      <c r="G19" s="591">
        <f>-(SUMIFS('Accounting data'!$G$2:$G$37003,'Accounting data'!$H$2:$H$37003,"1290*",'Accounting data'!$K$2:$K$37003,"1*")+SUMIFS('Accounting data'!$G$2:$G$37003,'Accounting data'!$H$2:$H$37003,"1290*",'Accounting data'!$K$2:$K$37003,"2*")+SUMIFS('Accounting data'!$G$2:$G$37003,'Accounting data'!$H$2:$H$37003,"1290*",'Accounting data'!$K$2:$K$37003,"3*")+SUMIFS('Accounting data'!$G$2:$G$37003,'Accounting data'!$H$2:$H$37003,"1290*",'Accounting data'!$K$2:$K$37003,"4*")+SUMIFS('Accounting data'!$G$2:$G$37003,'Accounting data'!$H$2:$H$37003,"1290*",'Accounting data'!$K$2:$K$37003,"Other*"))</f>
        <v>0</v>
      </c>
      <c r="H19" s="593">
        <f>SUMIFS('Accounting data'!$G$2:$G$37003,'Accounting data'!$H$2:$H$37003,"1290*",'Accounting data'!$K$2:$K$37003,"69*")</f>
        <v>0</v>
      </c>
      <c r="I19" s="51">
        <v>0</v>
      </c>
      <c r="J19" s="591">
        <f>[3]!FP1290Medicaid</f>
        <v>0</v>
      </c>
      <c r="K19" s="593">
        <f>SUMIFS('Accounting data'!$G$2:$G$37003,'Accounting data'!$H$2:$H$37003,"1290*",'Accounting data'!$K$2:$K$37003,"6*")-SUMIFS('Accounting data'!$G$2:$G$37003,'Accounting data'!$H$2:$H$37003,"1290*",'Accounting data'!$K$2:$K$37003,"69*")-SUMIFS('Accounting data'!$G$2:$G$37003,'Accounting data'!$H$2:$H$37003,"1290*",'Accounting data'!$K$2:$K$37003,"67*")</f>
        <v>0</v>
      </c>
      <c r="L19" s="257"/>
      <c r="M19" s="51">
        <v>0</v>
      </c>
      <c r="N19" s="593">
        <f t="shared" si="0"/>
        <v>0</v>
      </c>
      <c r="O19" t="s">
        <v>51</v>
      </c>
      <c r="P19" s="118"/>
      <c r="Q19" s="118"/>
      <c r="S19" s="28"/>
    </row>
    <row r="20" spans="1:26" x14ac:dyDescent="0.25">
      <c r="A20" t="s">
        <v>341</v>
      </c>
      <c r="D20" s="66" t="s">
        <v>53</v>
      </c>
      <c r="E20" s="591">
        <f>[1]!FP1300EndBal</f>
        <v>0</v>
      </c>
      <c r="F20" s="53">
        <v>0</v>
      </c>
      <c r="G20" s="591">
        <f>-(SUMIFS('Accounting data'!$G$2:$G$37003,'Accounting data'!$H$2:$H$37003,"1300*",'Accounting data'!$K$2:$K$37003,"1*")+SUMIFS('Accounting data'!$G$2:$G$37003,'Accounting data'!$H$2:$H$37003,"1300*",'Accounting data'!$K$2:$K$37003,"2*")+SUMIFS('Accounting data'!$G$2:$G$37003,'Accounting data'!$H$2:$H$37003,"1300*",'Accounting data'!$K$2:$K$37003,"3*")+SUMIFS('Accounting data'!$G$2:$G$37003,'Accounting data'!$H$2:$H$37003,"1300*",'Accounting data'!$K$2:$K$37003,"4*")+SUMIFS('Accounting data'!$G$2:$G$37003,'Accounting data'!$H$2:$H$37003,"1300*",'Accounting data'!$K$2:$K$37003,"Other*"))</f>
        <v>0</v>
      </c>
      <c r="H20" s="593">
        <f>SUMIFS('Accounting data'!$G$2:$G$37003,'Accounting data'!$H$2:$H$37003,"1300*",'Accounting data'!$K$2:$K$37003,"69*")</f>
        <v>0</v>
      </c>
      <c r="I20" s="51">
        <v>0</v>
      </c>
      <c r="J20" s="591">
        <f>[3]!FP1300Charter</f>
        <v>0</v>
      </c>
      <c r="K20" s="593">
        <f>SUMIFS('Accounting data'!$G$2:$G$37003,'Accounting data'!$H$2:$H$37003,"1300*",'Accounting data'!$K$2:$K$37003,"6*")-SUMIFS('Accounting data'!$G$2:$G$37003,'Accounting data'!$H$2:$H$37003,"1300*",'Accounting data'!$K$2:$K$37003,"69*")-SUMIFS('Accounting data'!$G$2:$G$37003,'Accounting data'!$H$2:$H$37003,"1300*",'Accounting data'!$K$2:$K$37003,"67*")</f>
        <v>0</v>
      </c>
      <c r="L20" s="257"/>
      <c r="M20" s="51">
        <v>0</v>
      </c>
      <c r="N20" s="593">
        <f t="shared" si="0"/>
        <v>0</v>
      </c>
      <c r="O20" s="249" t="s">
        <v>53</v>
      </c>
      <c r="P20" s="118"/>
      <c r="Q20" s="118"/>
      <c r="S20" s="28"/>
    </row>
    <row r="21" spans="1:26" x14ac:dyDescent="0.25">
      <c r="A21" s="217" t="s">
        <v>342</v>
      </c>
      <c r="B21" s="217"/>
      <c r="C21" s="217"/>
      <c r="D21" s="70" t="s">
        <v>55</v>
      </c>
      <c r="E21" s="591">
        <f>'[1]Page 8'!$M$21</f>
        <v>0</v>
      </c>
      <c r="F21" s="53">
        <v>0</v>
      </c>
      <c r="G21" s="591">
        <f>-(SUMIFS('Accounting data'!$G$2:$G$37003,'Accounting data'!$H$2:$H$37003,"13XX*",'Accounting data'!$K$2:$K$37003,"1*")+SUMIFS('Accounting data'!$G$2:$G$37003,'Accounting data'!$H$2:$H$37003,"13XX*",'Accounting data'!$K$2:$K$37003,"2*")+SUMIFS('Accounting data'!$G$2:$G$37003,'Accounting data'!$H$2:$H$37003,"13XX*",'Accounting data'!$K$2:$K$37003,"3*")+SUMIFS('Accounting data'!$G$2:$G$37003,'Accounting data'!$H$2:$H$37003,"13XX*",'Accounting data'!$K$2:$K$37003,"4*")+SUMIFS('Accounting data'!$G$2:$G$37003,'Accounting data'!$H$2:$H$37003,"13XX*",'Accounting data'!$K$2:$K$37003,"Other*"))</f>
        <v>0</v>
      </c>
      <c r="H21" s="593">
        <f>SUMIFS('Accounting data'!$G$2:$G$37003,'Accounting data'!$H$2:$H$37003,"13XX*",'Accounting data'!$K$2:$K$37003,"69*")</f>
        <v>0</v>
      </c>
      <c r="I21" s="51">
        <v>0</v>
      </c>
      <c r="J21" s="591">
        <f>[3]!FP13__ImpactAid</f>
        <v>0</v>
      </c>
      <c r="K21" s="593">
        <f>SUMIFS('Accounting data'!$G$2:$G$37003,'Accounting data'!$H$2:$H$37003,"13XX*",'Accounting data'!$K$2:$K$37003,"6*")-SUMIFS('Accounting data'!$G$2:$G$37003,'Accounting data'!$H$2:$H$37003,"13XX*",'Accounting data'!$K$2:$K$37003,"69*")-SUMIFS('Accounting data'!$G$2:$G$37003,'Accounting data'!$H$2:$H$37003,"13XX*",'Accounting data'!$K$2:$K$37003,"67*")</f>
        <v>0</v>
      </c>
      <c r="L21" s="257"/>
      <c r="M21" s="51">
        <v>0</v>
      </c>
      <c r="N21" s="593">
        <f t="shared" si="0"/>
        <v>0</v>
      </c>
      <c r="O21" s="249" t="s">
        <v>55</v>
      </c>
      <c r="P21" s="118"/>
      <c r="Q21" s="118"/>
      <c r="S21" s="28"/>
    </row>
    <row r="22" spans="1:26" ht="13.8" thickBot="1" x14ac:dyDescent="0.3">
      <c r="A22" s="217" t="s">
        <v>343</v>
      </c>
      <c r="B22" s="217"/>
      <c r="C22" s="217"/>
      <c r="D22" s="66" t="s">
        <v>57</v>
      </c>
      <c r="E22" s="224">
        <f>[1]!FP13101399EndBal</f>
        <v>0</v>
      </c>
      <c r="F22" s="56">
        <v>-550</v>
      </c>
      <c r="G22" s="224">
        <f>-(SUMIFS('Accounting data'!$G$2:$G$37003,'Accounting data'!$H$2:$H$37003,"1310*",'Accounting data'!$K$2:$K$37003,"1*")+SUMIFS('Accounting data'!$G$2:$G$37003,'Accounting data'!$H$2:$H$37003,"1310*",'Accounting data'!$K$2:$K$37003,"2*")+SUMIFS('Accounting data'!$G$2:$G$37003,'Accounting data'!$H$2:$H$37003,"1310*",'Accounting data'!$K$2:$K$37003,"3*")+SUMIFS('Accounting data'!$G$2:$G$37003,'Accounting data'!$H$2:$H$37003,"1310*",'Accounting data'!$K$2:$K$37003,"4*")+SUMIFS('Accounting data'!$G$2:$G$37003,'Accounting data'!$H$2:$H$37003,"1310*",'Accounting data'!$K$2:$K$37003,"Other*"))</f>
        <v>2400</v>
      </c>
      <c r="H22" s="230">
        <f>SUMIFS('Accounting data'!$G$2:$G$37003,'Accounting data'!$H$2:$H$37003,"1310*",'Accounting data'!$K$2:$K$37003,"69*")</f>
        <v>0</v>
      </c>
      <c r="I22" s="55">
        <v>0</v>
      </c>
      <c r="J22" s="224">
        <f>[3]!FP13101399Other</f>
        <v>0</v>
      </c>
      <c r="K22" s="230">
        <f>SUMIFS('Accounting data'!$G$2:$G$37003,'Accounting data'!$H$2:$H$37003,"1310*",'Accounting data'!$K$2:$K$37003,"6*")-SUMIFS('Accounting data'!$G$2:$G$37003,'Accounting data'!$H$2:$H$37003,"1310*",'Accounting data'!$K$2:$K$37003,"69*")-SUMIFS('Accounting data'!$G$2:$G$37003,'Accounting data'!$H$2:$H$37003,"1310*",'Accounting data'!$K$2:$K$37003,"67*")</f>
        <v>1850</v>
      </c>
      <c r="L22" s="55">
        <v>0</v>
      </c>
      <c r="M22" s="55">
        <v>0</v>
      </c>
      <c r="N22" s="593">
        <f>SUM(IF(F22="",E22,F22)+G22-H22-I22-K22-M22-L22)</f>
        <v>0</v>
      </c>
      <c r="O22" s="249" t="s">
        <v>57</v>
      </c>
      <c r="P22" s="118"/>
      <c r="Q22" s="118"/>
      <c r="S22" s="28"/>
    </row>
    <row r="23" spans="1:26" ht="13.8" thickBot="1" x14ac:dyDescent="0.3">
      <c r="A23" t="s">
        <v>344</v>
      </c>
      <c r="D23" s="66" t="s">
        <v>59</v>
      </c>
      <c r="E23" s="225">
        <f t="shared" ref="E23:M23" si="1">SUM(E6:E22)</f>
        <v>0</v>
      </c>
      <c r="F23" s="225" cm="1">
        <f t="array" ref="F23">SUM(IF(F6:F22="",E6:E22,F6:F22))</f>
        <v>-550</v>
      </c>
      <c r="G23" s="225">
        <f t="shared" si="1"/>
        <v>4243</v>
      </c>
      <c r="H23" s="225">
        <f t="shared" si="1"/>
        <v>0</v>
      </c>
      <c r="I23" s="225">
        <f>SUM(I6:I22)</f>
        <v>0</v>
      </c>
      <c r="J23" s="225">
        <f>SUM(J6:J22)</f>
        <v>1643</v>
      </c>
      <c r="K23" s="225">
        <f t="shared" si="1"/>
        <v>3693</v>
      </c>
      <c r="L23" s="225">
        <f>SUM(L6:L22)</f>
        <v>0</v>
      </c>
      <c r="M23" s="225">
        <f t="shared" si="1"/>
        <v>0</v>
      </c>
      <c r="N23" s="593">
        <f>SUM(IF(F23="",E23,F23)+G23-H23-I23-K23-M23)</f>
        <v>0</v>
      </c>
      <c r="O23" s="249" t="s">
        <v>59</v>
      </c>
    </row>
    <row r="24" spans="1:26" ht="13.8" thickTop="1" x14ac:dyDescent="0.25">
      <c r="D24" s="66"/>
      <c r="E24" s="28"/>
      <c r="F24" s="28"/>
      <c r="G24" s="28"/>
      <c r="H24" s="28"/>
      <c r="I24" s="28"/>
      <c r="J24" s="28"/>
      <c r="K24" s="28"/>
      <c r="L24" s="28"/>
      <c r="M24" s="28"/>
      <c r="N24" s="28"/>
      <c r="O24" s="249"/>
    </row>
    <row r="25" spans="1:26" x14ac:dyDescent="0.25">
      <c r="A25" s="217" t="s">
        <v>345</v>
      </c>
      <c r="B25" s="217"/>
      <c r="C25" s="217"/>
      <c r="D25" s="66" t="s">
        <v>61</v>
      </c>
      <c r="E25" s="591">
        <f>'[1]Page 8'!$M$25</f>
        <v>0</v>
      </c>
      <c r="F25" s="53">
        <v>0</v>
      </c>
      <c r="G25" s="593">
        <f>Q25+Z25</f>
        <v>0</v>
      </c>
      <c r="H25" s="591">
        <f t="array" ref="H25">SUM(SUMIFS('Accounting data'!$G$2:$G$37003,'Accounting data'!$H$2:$H$37003,{"1310-1399-COVID-19*","1227*","1228*"},'Accounting data'!$K$2:$K$37003,"69*"))</f>
        <v>0</v>
      </c>
      <c r="I25" s="53">
        <v>0</v>
      </c>
      <c r="J25" s="104"/>
      <c r="K25" s="593">
        <f t="array" ref="K25">SUM(SUMIFS('Accounting data'!$G$2:$G$37003,'Accounting data'!$H$2:$H$37003,{"1310-1399-COVID-19*","1227*","1228*"},'Accounting data'!$K$2:$K$37003,"6*"))-SUM(SUMIFS('Accounting data'!$G$2:$G$37003,'Accounting data'!$H$2:$H$37003,{"1310-1399-COVID-19*","1227*","1228*"},'Accounting data'!$K$2:$K$37003,"69*"))-SUM(SUMIFS('Accounting data'!$G$2:$G$37003,'Accounting data'!$H$2:$H$37003,{"1310-1399-COVID-19*","1227*","1228*"},'Accounting data'!$K$2:$K$37003,"67*"))</f>
        <v>0</v>
      </c>
      <c r="L25" s="51">
        <v>0</v>
      </c>
      <c r="M25" s="53">
        <v>0</v>
      </c>
      <c r="N25" s="593">
        <f>SUM(IF(F25="",E25,F25)+G25-H25-I25-K25-M25-L25)</f>
        <v>0</v>
      </c>
      <c r="O25" s="66" t="s">
        <v>61</v>
      </c>
      <c r="Q25" s="50">
        <f t="array" ref="Q25">-(SUMIFS('Accounting data'!$G$2:$G$37003,'Accounting data'!$H$2:$H$37003,"1310-1399-COVID-19*",'Accounting data'!$K$2:$K$37003,"1*")+SUMIFS('Accounting data'!$G$2:$G$37003,'Accounting data'!$H$2:$H$37003,"1310-1399-COVID-19*",'Accounting data'!$K$2:$K$37003,"2*")+SUMIFS('Accounting data'!$G$2:$G$37003,'Accounting data'!$H$2:$H$37003,"1310-1399-COVID-19*",'Accounting data'!$K$2:$K$37003,"3*")+SUMIFS('Accounting data'!$G$2:$G$37003,'Accounting data'!$H$2:$H$37003,"1310-1399-COVID-19*",'Accounting data'!$K$2:$K$37003,"4*")+SUMIFS('Accounting data'!$G$2:$G$37003,'Accounting data'!$H$2:$H$37003,"1310-1399-COVID-19*",'Accounting data'!$K$2:$K$37003,"Other*")+SUM(SUMIFS('Accounting data'!$G$2:$G$37003,'Accounting data'!$H$2:$H$37003,"1227*",'Accounting data'!$K$2:$K$37003,{"1*","2*","3*","4*","Other*"})))</f>
        <v>0</v>
      </c>
      <c r="R25" s="50"/>
      <c r="S25" s="50"/>
      <c r="T25" s="50"/>
      <c r="U25" s="50"/>
      <c r="V25" s="50"/>
      <c r="W25" s="50"/>
      <c r="X25" s="50"/>
      <c r="Y25" s="50"/>
      <c r="Z25" s="50">
        <f t="array" ref="Z25">-SUM(SUMIFS('Accounting data'!$G$2:$G$37003,'Accounting data'!$H$2:$H$37003,"1228*",'Accounting data'!$K$2:$K$37003,{"1*","2*","3*","4*","Other*"}))</f>
        <v>0</v>
      </c>
    </row>
    <row r="26" spans="1:26" x14ac:dyDescent="0.25">
      <c r="D26" s="66"/>
      <c r="E26" s="28"/>
      <c r="F26" s="28"/>
      <c r="G26" s="28"/>
      <c r="H26" s="28"/>
      <c r="I26" s="28"/>
      <c r="J26" s="28"/>
      <c r="K26" s="28"/>
      <c r="L26" s="28"/>
      <c r="M26" s="28"/>
      <c r="N26" s="28"/>
      <c r="O26" s="249"/>
    </row>
    <row r="27" spans="1:26" x14ac:dyDescent="0.25">
      <c r="A27" s="590" t="s">
        <v>346</v>
      </c>
      <c r="E27" s="220"/>
      <c r="F27" s="220"/>
      <c r="G27" s="220"/>
      <c r="H27" s="220"/>
      <c r="I27" s="220"/>
      <c r="J27" s="220"/>
      <c r="K27" s="220"/>
      <c r="L27" s="220"/>
      <c r="M27" s="220"/>
      <c r="N27" s="220"/>
    </row>
    <row r="28" spans="1:26" x14ac:dyDescent="0.25">
      <c r="A28" t="s">
        <v>347</v>
      </c>
      <c r="D28" s="66" t="s">
        <v>63</v>
      </c>
      <c r="E28" s="591">
        <f>[1]!StP1400EndBal</f>
        <v>0</v>
      </c>
      <c r="F28" s="53">
        <v>0</v>
      </c>
      <c r="G28" s="591">
        <f>-(SUMIFS('Accounting data'!$G$2:$G$37003,'Accounting data'!$H$2:$H$37003,"1400*",'Accounting data'!$K$2:$K$37003,"1*")+SUMIFS('Accounting data'!$G$2:$G$37003,'Accounting data'!$H$2:$H$37003,"1400*",'Accounting data'!$K$2:$K$37003,"2*")+SUMIFS('Accounting data'!$G$2:$G$37003,'Accounting data'!$H$2:$H$37003,"1400*",'Accounting data'!$K$2:$K$37003,"3*")+SUMIFS('Accounting data'!$G$2:$G$37003,'Accounting data'!$H$2:$H$37003,"1400*",'Accounting data'!$K$2:$K$37003,"4*")+SUMIFS('Accounting data'!$G$2:$G$37003,'Accounting data'!$H$2:$H$37003,"1400*",'Accounting data'!$K$2:$K$37003,"Other*"))</f>
        <v>0</v>
      </c>
      <c r="H28" s="102"/>
      <c r="I28" s="51">
        <v>0</v>
      </c>
      <c r="J28" s="591">
        <f>[3]!SP1400VocEd</f>
        <v>0</v>
      </c>
      <c r="K28" s="593">
        <f>SUMIFS('Accounting data'!$G$2:$G$37003,'Accounting data'!$H$2:$H$37003,"1400*",'Accounting data'!$K$2:$K$37003,"6*")-SUMIFS('Accounting data'!$G$2:$G$37003,'Accounting data'!$H$2:$H$37003,"1400*",'Accounting data'!$K$2:$K$37003,"69*")-SUMIFS('Accounting data'!$G$2:$G$37003,'Accounting data'!$H$2:$H$37003,"1400*",'Accounting data'!$K$2:$K$37003,"67*")</f>
        <v>0</v>
      </c>
      <c r="L28" s="51">
        <v>0</v>
      </c>
      <c r="M28" s="51">
        <v>0</v>
      </c>
      <c r="N28" s="593">
        <f>SUM(IF(F28="",E28,F28)+G28-H28-I28-K28-L28-M28)</f>
        <v>0</v>
      </c>
      <c r="O28" s="66" t="s">
        <v>63</v>
      </c>
    </row>
    <row r="29" spans="1:26" x14ac:dyDescent="0.25">
      <c r="A29" t="s">
        <v>348</v>
      </c>
      <c r="D29" s="66" t="s">
        <v>65</v>
      </c>
      <c r="E29" s="591">
        <f>[1]!StP1410EndBal</f>
        <v>0</v>
      </c>
      <c r="F29" s="53">
        <v>0</v>
      </c>
      <c r="G29" s="591">
        <f>-(SUMIFS('Accounting data'!$G$2:$G$37003,'Accounting data'!$H$2:$H$37003,"1410*",'Accounting data'!$K$2:$K$37003,"1*")+SUMIFS('Accounting data'!$G$2:$G$37003,'Accounting data'!$H$2:$H$37003,"1410*",'Accounting data'!$K$2:$K$37003,"2*")+SUMIFS('Accounting data'!$G$2:$G$37003,'Accounting data'!$H$2:$H$37003,"1410*",'Accounting data'!$K$2:$K$37003,"3*")+SUMIFS('Accounting data'!$G$2:$G$37003,'Accounting data'!$H$2:$H$37003,"1410*",'Accounting data'!$K$2:$K$37003,"4*")+SUMIFS('Accounting data'!$G$2:$G$37003,'Accounting data'!$H$2:$H$37003,"1410*",'Accounting data'!$K$2:$K$37003,"Other*"))</f>
        <v>0</v>
      </c>
      <c r="H29" s="102"/>
      <c r="I29" s="51">
        <v>0</v>
      </c>
      <c r="J29" s="591">
        <f>[3]!SP1410EarlyChildhoodBlockGrant</f>
        <v>0</v>
      </c>
      <c r="K29" s="593">
        <f>SUMIFS('Accounting data'!$G$2:$G$37003,'Accounting data'!$H$2:$H$37003,"1410*",'Accounting data'!$K$2:$K$37003,"6*")-SUMIFS('Accounting data'!$G$2:$G$37003,'Accounting data'!$H$2:$H$37003,"1410*",'Accounting data'!$K$2:$K$37003,"69*")-SUMIFS('Accounting data'!$G$2:$G$37003,'Accounting data'!$H$2:$H$37003,"1410*",'Accounting data'!$K$2:$K$37003,"67*")</f>
        <v>0</v>
      </c>
      <c r="L29" s="51">
        <v>0</v>
      </c>
      <c r="M29" s="51">
        <v>0</v>
      </c>
      <c r="N29" s="593">
        <f t="shared" ref="N29:N39" si="2">SUM(IF(F29="",E29,F29)+G29-H29-I29-K29-L29-M29)</f>
        <v>0</v>
      </c>
      <c r="O29" s="66" t="s">
        <v>65</v>
      </c>
    </row>
    <row r="30" spans="1:26" x14ac:dyDescent="0.25">
      <c r="A30" t="s">
        <v>349</v>
      </c>
      <c r="D30" s="66" t="s">
        <v>67</v>
      </c>
      <c r="E30" s="591">
        <f>[1]!StP1420EndBal</f>
        <v>0</v>
      </c>
      <c r="F30" s="53">
        <v>0</v>
      </c>
      <c r="G30" s="591">
        <f>-(SUMIFS('Accounting data'!$G$2:$G$37003,'Accounting data'!$H$2:$H$37003,"1420*",'Accounting data'!$K$2:$K$37003,"1*")+SUMIFS('Accounting data'!$G$2:$G$37003,'Accounting data'!$H$2:$H$37003,"1420*",'Accounting data'!$K$2:$K$37003,"2*")+SUMIFS('Accounting data'!$G$2:$G$37003,'Accounting data'!$H$2:$H$37003,"1420*",'Accounting data'!$K$2:$K$37003,"3*")+SUMIFS('Accounting data'!$G$2:$G$37003,'Accounting data'!$H$2:$H$37003,"1420*",'Accounting data'!$K$2:$K$37003,"4*")+SUMIFS('Accounting data'!$G$2:$G$37003,'Accounting data'!$H$2:$H$37003,"1420*",'Accounting data'!$K$2:$K$37003,"Other*"))</f>
        <v>0</v>
      </c>
      <c r="H30" s="102"/>
      <c r="I30" s="51">
        <v>0</v>
      </c>
      <c r="J30" s="591">
        <f>[3]!FP1420ExtendedSchool</f>
        <v>0</v>
      </c>
      <c r="K30" s="593">
        <f>SUMIFS('Accounting data'!$G$2:$G$37003,'Accounting data'!$H$2:$H$37003,"1420*",'Accounting data'!$K$2:$K$37003,"6*")-SUMIFS('Accounting data'!$G$2:$G$37003,'Accounting data'!$H$2:$H$37003,"1420*",'Accounting data'!$K$2:$K$37003,"69*")-SUMIFS('Accounting data'!$G$2:$G$37003,'Accounting data'!$H$2:$H$37003,"1420*",'Accounting data'!$K$2:$K$37003,"67*")</f>
        <v>0</v>
      </c>
      <c r="L30" s="51">
        <v>0</v>
      </c>
      <c r="M30" s="51">
        <v>0</v>
      </c>
      <c r="N30" s="593">
        <f t="shared" si="2"/>
        <v>0</v>
      </c>
      <c r="O30" s="66" t="s">
        <v>67</v>
      </c>
    </row>
    <row r="31" spans="1:26" x14ac:dyDescent="0.25">
      <c r="A31" t="s">
        <v>350</v>
      </c>
      <c r="D31" s="66" t="s">
        <v>69</v>
      </c>
      <c r="E31" s="591">
        <f>[1]!StP1425EndBal</f>
        <v>0</v>
      </c>
      <c r="F31" s="53">
        <v>0</v>
      </c>
      <c r="G31" s="591">
        <f>-(SUMIFS('Accounting data'!$G$2:$G$37003,'Accounting data'!$H$2:$H$37003,"1425*",'Accounting data'!$K$2:$K$37003,"1*")+SUMIFS('Accounting data'!$G$2:$G$37003,'Accounting data'!$H$2:$H$37003,"1425*",'Accounting data'!$K$2:$K$37003,"2*")+SUMIFS('Accounting data'!$G$2:$G$37003,'Accounting data'!$H$2:$H$37003,"1425*",'Accounting data'!$K$2:$K$37003,"3*")+SUMIFS('Accounting data'!$G$2:$G$37003,'Accounting data'!$H$2:$H$37003,"1425*",'Accounting data'!$K$2:$K$37003,"4*")+SUMIFS('Accounting data'!$G$2:$G$37003,'Accounting data'!$H$2:$H$37003,"1425*",'Accounting data'!$K$2:$K$37003,"Other*"))</f>
        <v>0</v>
      </c>
      <c r="H31" s="102"/>
      <c r="I31" s="51">
        <v>0</v>
      </c>
      <c r="J31" s="591">
        <f>[3]!SP1425AdultBasicEd</f>
        <v>0</v>
      </c>
      <c r="K31" s="593">
        <f>SUMIFS('Accounting data'!$G$2:$G$37003,'Accounting data'!$H$2:$H$37003,"1425*",'Accounting data'!$K$2:$K$37003,"6*")-SUMIFS('Accounting data'!$G$2:$G$37003,'Accounting data'!$H$2:$H$37003,"1425*",'Accounting data'!$K$2:$K$37003,"69*")-SUMIFS('Accounting data'!$G$2:$G$37003,'Accounting data'!$H$2:$H$37003,"1425*",'Accounting data'!$K$2:$K$37003,"67*")</f>
        <v>0</v>
      </c>
      <c r="L31" s="51">
        <v>0</v>
      </c>
      <c r="M31" s="51">
        <v>0</v>
      </c>
      <c r="N31" s="593">
        <f t="shared" si="2"/>
        <v>0</v>
      </c>
      <c r="O31" s="66" t="s">
        <v>69</v>
      </c>
    </row>
    <row r="32" spans="1:26" x14ac:dyDescent="0.25">
      <c r="A32" t="s">
        <v>351</v>
      </c>
      <c r="D32" s="66" t="s">
        <v>71</v>
      </c>
      <c r="E32" s="591">
        <f>[1]!StP1430EndBal</f>
        <v>0</v>
      </c>
      <c r="F32" s="53">
        <v>0</v>
      </c>
      <c r="G32" s="591">
        <f>-(SUMIFS('Accounting data'!$G$2:$G$37003,'Accounting data'!$H$2:$H$37003,"1430*",'Accounting data'!$K$2:$K$37003,"1*")+SUMIFS('Accounting data'!$G$2:$G$37003,'Accounting data'!$H$2:$H$37003,"1430*",'Accounting data'!$K$2:$K$37003,"2*")+SUMIFS('Accounting data'!$G$2:$G$37003,'Accounting data'!$H$2:$H$37003,"1430*",'Accounting data'!$K$2:$K$37003,"3*")+SUMIFS('Accounting data'!$G$2:$G$37003,'Accounting data'!$H$2:$H$37003,"1430*",'Accounting data'!$K$2:$K$37003,"4*")+SUMIFS('Accounting data'!$G$2:$G$37003,'Accounting data'!$H$2:$H$37003,"1430*",'Accounting data'!$K$2:$K$37003,"Other*"))</f>
        <v>0</v>
      </c>
      <c r="H32" s="102"/>
      <c r="I32" s="51">
        <v>0</v>
      </c>
      <c r="J32" s="591">
        <f>[3]!SP1430ChemicalAbuse</f>
        <v>0</v>
      </c>
      <c r="K32" s="593">
        <f>SUMIFS('Accounting data'!$G$2:$G$37003,'Accounting data'!$H$2:$H$37003,"1430*",'Accounting data'!$K$2:$K$37003,"6*")-SUMIFS('Accounting data'!$G$2:$G$37003,'Accounting data'!$H$2:$H$37003,"1430*",'Accounting data'!$K$2:$K$37003,"69*")-SUMIFS('Accounting data'!$G$2:$G$37003,'Accounting data'!$H$2:$H$37003,"1430*",'Accounting data'!$K$2:$K$37003,"67*")</f>
        <v>0</v>
      </c>
      <c r="L32" s="51">
        <v>0</v>
      </c>
      <c r="M32" s="51">
        <v>0</v>
      </c>
      <c r="N32" s="593">
        <f t="shared" si="2"/>
        <v>0</v>
      </c>
      <c r="O32" s="66" t="s">
        <v>71</v>
      </c>
    </row>
    <row r="33" spans="1:15" ht="12.75" customHeight="1" x14ac:dyDescent="0.25">
      <c r="A33" t="s">
        <v>352</v>
      </c>
      <c r="D33" s="66" t="s">
        <v>73</v>
      </c>
      <c r="E33" s="591">
        <f>[1]!StP1435EndBal</f>
        <v>0</v>
      </c>
      <c r="F33" s="53">
        <v>0</v>
      </c>
      <c r="G33" s="591">
        <f>-(SUMIFS('Accounting data'!$G$2:$G$37003,'Accounting data'!$H$2:$H$37003,"1435*",'Accounting data'!$K$2:$K$37003,"1*")+SUMIFS('Accounting data'!$G$2:$G$37003,'Accounting data'!$H$2:$H$37003,"1435*",'Accounting data'!$K$2:$K$37003,"2*")+SUMIFS('Accounting data'!$G$2:$G$37003,'Accounting data'!$H$2:$H$37003,"1435*",'Accounting data'!$K$2:$K$37003,"3*")+SUMIFS('Accounting data'!$G$2:$G$37003,'Accounting data'!$H$2:$H$37003,"1435*",'Accounting data'!$K$2:$K$37003,"4*")+SUMIFS('Accounting data'!$G$2:$G$37003,'Accounting data'!$H$2:$H$37003,"1435*",'Accounting data'!$K$2:$K$37003,"Other*"))</f>
        <v>0</v>
      </c>
      <c r="H33" s="102"/>
      <c r="I33" s="51">
        <v>0</v>
      </c>
      <c r="J33" s="591">
        <f>[3]!SP1435AcademicContests</f>
        <v>0</v>
      </c>
      <c r="K33" s="593">
        <f>SUMIFS('Accounting data'!$G$2:$G$37003,'Accounting data'!$H$2:$H$37003,"1435*",'Accounting data'!$K$2:$K$37003,"6*")-SUMIFS('Accounting data'!$G$2:$G$37003,'Accounting data'!$H$2:$H$37003,"1435*",'Accounting data'!$K$2:$K$37003,"69*")-SUMIFS('Accounting data'!$G$2:$G$37003,'Accounting data'!$H$2:$H$37003,"1435*",'Accounting data'!$K$2:$K$37003,"67*")</f>
        <v>0</v>
      </c>
      <c r="L33" s="51">
        <v>0</v>
      </c>
      <c r="M33" s="51">
        <v>0</v>
      </c>
      <c r="N33" s="593">
        <f t="shared" si="2"/>
        <v>0</v>
      </c>
      <c r="O33" s="66" t="s">
        <v>73</v>
      </c>
    </row>
    <row r="34" spans="1:15" ht="12.75" customHeight="1" x14ac:dyDescent="0.25">
      <c r="A34" t="s">
        <v>353</v>
      </c>
      <c r="D34" s="66" t="s">
        <v>75</v>
      </c>
      <c r="E34" s="591">
        <f>[1]!StP1450EndBal</f>
        <v>0</v>
      </c>
      <c r="F34" s="53">
        <v>0</v>
      </c>
      <c r="G34" s="591">
        <f>-(SUMIFS('Accounting data'!$G$2:$G$37003,'Accounting data'!$H$2:$H$37003,"1450*",'Accounting data'!$K$2:$K$37003,"1*")+SUMIFS('Accounting data'!$G$2:$G$37003,'Accounting data'!$H$2:$H$37003,"1450*",'Accounting data'!$K$2:$K$37003,"2*")+SUMIFS('Accounting data'!$G$2:$G$37003,'Accounting data'!$H$2:$H$37003,"1450*",'Accounting data'!$K$2:$K$37003,"3*")+SUMIFS('Accounting data'!$G$2:$G$37003,'Accounting data'!$H$2:$H$37003,"1450*",'Accounting data'!$K$2:$K$37003,"4*")+SUMIFS('Accounting data'!$G$2:$G$37003,'Accounting data'!$H$2:$H$37003,"1450*",'Accounting data'!$K$2:$K$37003,"Other*"))</f>
        <v>0</v>
      </c>
      <c r="H34" s="102"/>
      <c r="I34" s="51">
        <v>0</v>
      </c>
      <c r="J34" s="591">
        <f>[3]!SP1450GiftedEd</f>
        <v>0</v>
      </c>
      <c r="K34" s="593">
        <f>SUMIFS('Accounting data'!$G$2:$G$37003,'Accounting data'!$H$2:$H$37003,"1450*",'Accounting data'!$K$2:$K$37003,"6*")-SUMIFS('Accounting data'!$G$2:$G$37003,'Accounting data'!$H$2:$H$37003,"1450*",'Accounting data'!$K$2:$K$37003,"69*")-SUMIFS('Accounting data'!$G$2:$G$37003,'Accounting data'!$H$2:$H$37003,"1450*",'Accounting data'!$K$2:$K$37003,"67*")</f>
        <v>0</v>
      </c>
      <c r="L34" s="51">
        <v>0</v>
      </c>
      <c r="M34" s="51">
        <v>0</v>
      </c>
      <c r="N34" s="593">
        <f t="shared" si="2"/>
        <v>0</v>
      </c>
      <c r="O34" s="66" t="s">
        <v>75</v>
      </c>
    </row>
    <row r="35" spans="1:15" ht="12.75" customHeight="1" x14ac:dyDescent="0.25">
      <c r="A35" t="s">
        <v>354</v>
      </c>
      <c r="D35" s="66" t="s">
        <v>77</v>
      </c>
      <c r="E35" s="591">
        <f>'[1]Page 8'!$M$35</f>
        <v>0</v>
      </c>
      <c r="F35" s="53">
        <v>0</v>
      </c>
      <c r="G35" s="591">
        <f>-(SUMIFS('Accounting data'!$G$2:$G$37003,'Accounting data'!$H$2:$H$37003,"1456*",'Accounting data'!$K$2:$K$37003,"1*")+SUMIFS('Accounting data'!$G$2:$G$37003,'Accounting data'!$H$2:$H$37003,"1456*",'Accounting data'!$K$2:$K$37003,"2*")+SUMIFS('Accounting data'!$G$2:$G$37003,'Accounting data'!$H$2:$H$37003,"1456*",'Accounting data'!$K$2:$K$37003,"3*")+SUMIFS('Accounting data'!$G$2:$G$37003,'Accounting data'!$H$2:$H$37003,"1456*",'Accounting data'!$K$2:$K$37003,"4*")+SUMIFS('Accounting data'!$G$2:$G$37003,'Accounting data'!$H$2:$H$37003,"1456*",'Accounting data'!$K$2:$K$37003,"Other*"))</f>
        <v>0</v>
      </c>
      <c r="H35" s="102"/>
      <c r="I35" s="51">
        <v>0</v>
      </c>
      <c r="J35" s="591">
        <f>+'[3]Page 2'!$E$31</f>
        <v>0</v>
      </c>
      <c r="K35" s="593">
        <f>SUMIFS('Accounting data'!$G$2:$G$37003,'Accounting data'!$H$2:$H$37003,"1456*",'Accounting data'!$K$2:$K$37003,"6*")-SUMIFS('Accounting data'!$G$2:$G$37003,'Accounting data'!$H$2:$H$37003,"1456*",'Accounting data'!$K$2:$K$37003,"69*")-SUMIFS('Accounting data'!$G$2:$G$37003,'Accounting data'!$H$2:$H$37003,"1456*",'Accounting data'!$K$2:$K$37003,"67*")</f>
        <v>0</v>
      </c>
      <c r="L35" s="51">
        <v>0</v>
      </c>
      <c r="M35" s="51">
        <v>0</v>
      </c>
      <c r="N35" s="593">
        <f t="shared" si="2"/>
        <v>0</v>
      </c>
      <c r="O35" s="66" t="s">
        <v>77</v>
      </c>
    </row>
    <row r="36" spans="1:15" x14ac:dyDescent="0.25">
      <c r="A36" t="s">
        <v>355</v>
      </c>
      <c r="D36" s="66" t="s">
        <v>79</v>
      </c>
      <c r="E36" s="591">
        <f>[1]!StP1460EndBal</f>
        <v>0</v>
      </c>
      <c r="F36" s="53">
        <v>0</v>
      </c>
      <c r="G36" s="591">
        <f>-(SUMIFS('Accounting data'!$G$2:$G$37003,'Accounting data'!$H$2:$H$37003,"1460*",'Accounting data'!$K$2:$K$37003,"1*")+SUMIFS('Accounting data'!$G$2:$G$37003,'Accounting data'!$H$2:$H$37003,"1460*",'Accounting data'!$K$2:$K$37003,"2*")+SUMIFS('Accounting data'!$G$2:$G$37003,'Accounting data'!$H$2:$H$37003,"1460*",'Accounting data'!$K$2:$K$37003,"3*")+SUMIFS('Accounting data'!$G$2:$G$37003,'Accounting data'!$H$2:$H$37003,"1460*",'Accounting data'!$K$2:$K$37003,"4*")+SUMIFS('Accounting data'!$G$2:$G$37003,'Accounting data'!$H$2:$H$37003,"1460*",'Accounting data'!$K$2:$K$37003,"Other*"))</f>
        <v>0</v>
      </c>
      <c r="H36" s="190"/>
      <c r="I36" s="51">
        <v>0</v>
      </c>
      <c r="J36" s="591">
        <f>[3]!SP1460EnvironmentalSpecialPlate</f>
        <v>0</v>
      </c>
      <c r="K36" s="593">
        <f>SUMIFS('Accounting data'!$G$2:$G$37003,'Accounting data'!$H$2:$H$37003,"1460*",'Accounting data'!$K$2:$K$37003,"6*")-SUMIFS('Accounting data'!$G$2:$G$37003,'Accounting data'!$H$2:$H$37003,"1460*",'Accounting data'!$K$2:$K$37003,"69*")-SUMIFS('Accounting data'!$G$2:$G$37003,'Accounting data'!$H$2:$H$37003,"1460*",'Accounting data'!$K$2:$K$37003,"67*")</f>
        <v>0</v>
      </c>
      <c r="L36" s="51">
        <v>0</v>
      </c>
      <c r="M36" s="51">
        <v>0</v>
      </c>
      <c r="N36" s="593">
        <f t="shared" si="2"/>
        <v>0</v>
      </c>
      <c r="O36" s="66" t="s">
        <v>81</v>
      </c>
    </row>
    <row r="37" spans="1:15" ht="12.75" customHeight="1" x14ac:dyDescent="0.25">
      <c r="A37" t="s">
        <v>356</v>
      </c>
      <c r="D37" s="66" t="s">
        <v>81</v>
      </c>
      <c r="E37" s="591">
        <f>[1]!StP1465EndBal</f>
        <v>0</v>
      </c>
      <c r="F37" s="53">
        <v>0</v>
      </c>
      <c r="G37" s="591">
        <f>-(SUMIFS('Accounting data'!$G$2:$G$37003,'Accounting data'!$H$2:$H$37003,"1465*",'Accounting data'!$K$2:$K$37003,"1*")+SUMIFS('Accounting data'!$G$2:$G$37003,'Accounting data'!$H$2:$H$37003,"1465*",'Accounting data'!$K$2:$K$37003,"2*")+SUMIFS('Accounting data'!$G$2:$G$37003,'Accounting data'!$H$2:$H$37003,"1465*",'Accounting data'!$K$2:$K$37003,"3*")+SUMIFS('Accounting data'!$G$2:$G$37003,'Accounting data'!$H$2:$H$37003,"1465*",'Accounting data'!$K$2:$K$37003,"4*")+SUMIFS('Accounting data'!$G$2:$G$37003,'Accounting data'!$H$2:$H$37003,"1465*",'Accounting data'!$K$2:$K$37003,"Other*"))</f>
        <v>0</v>
      </c>
      <c r="H37" s="258"/>
      <c r="I37" s="51">
        <v>0</v>
      </c>
      <c r="J37" s="591">
        <f>[3]!SP1465CharterSchool</f>
        <v>0</v>
      </c>
      <c r="K37" s="593">
        <f>SUMIFS('Accounting data'!$G$2:$G$37003,'Accounting data'!$H$2:$H$37003,"1465*",'Accounting data'!$K$2:$K$37003,"6*")-SUMIFS('Accounting data'!$G$2:$G$37003,'Accounting data'!$H$2:$H$37003,"1465*",'Accounting data'!$K$2:$K$37003,"69*")-SUMIFS('Accounting data'!$G$2:$G$37003,'Accounting data'!$H$2:$H$37003,"1465*",'Accounting data'!$K$2:$K$37003,"67*")</f>
        <v>0</v>
      </c>
      <c r="L37" s="51">
        <v>0</v>
      </c>
      <c r="M37" s="51">
        <v>0</v>
      </c>
      <c r="N37" s="593">
        <f t="shared" si="2"/>
        <v>0</v>
      </c>
      <c r="O37" s="66" t="s">
        <v>83</v>
      </c>
    </row>
    <row r="38" spans="1:15" ht="12.75" customHeight="1" x14ac:dyDescent="0.25">
      <c r="A38" s="259" t="s">
        <v>357</v>
      </c>
      <c r="B38" s="259"/>
      <c r="C38" s="259"/>
      <c r="D38" s="70" t="s">
        <v>83</v>
      </c>
      <c r="E38" s="591">
        <f t="array" ref="E38">[1]!StP14XXEndBal</f>
        <v>0</v>
      </c>
      <c r="F38" s="53">
        <v>0</v>
      </c>
      <c r="G38" s="591">
        <f>-(SUMIFS('Accounting data'!$G$2:$G$37003,'Accounting data'!$H$2:$H$37003,"14XX*",'Accounting data'!$K$2:$K$37003,"1*")+SUMIFS('Accounting data'!$G$2:$G$37003,'Accounting data'!$H$2:$H$37003,"14XX*",'Accounting data'!$K$2:$K$37003,"2*")+SUMIFS('Accounting data'!$G$2:$G$37003,'Accounting data'!$H$2:$H$37003,"14XX*",'Accounting data'!$K$2:$K$37003,"3*")+SUMIFS('Accounting data'!$G$2:$G$37003,'Accounting data'!$H$2:$H$37003,"14XX*",'Accounting data'!$K$2:$K$37003,"4*")+SUMIFS('Accounting data'!$G$2:$G$37003,'Accounting data'!$H$2:$H$37003,"14XX*",'Accounting data'!$K$2:$K$37003,"Other*"))</f>
        <v>0</v>
      </c>
      <c r="H38" s="258"/>
      <c r="I38" s="51">
        <v>0</v>
      </c>
      <c r="J38" s="591">
        <f>'[3]Page 2'!$E$35</f>
        <v>0</v>
      </c>
      <c r="K38" s="593">
        <f>SUMIFS('Accounting data'!$G$2:$G$37003,'Accounting data'!$H$2:$H$37003,"14XX*",'Accounting data'!$K$2:$K$37003,"6*")-SUMIFS('Accounting data'!$G$2:$G$37003,'Accounting data'!$H$2:$H$37003,"14XX*",'Accounting data'!$K$2:$K$37003,"69*")-SUMIFS('Accounting data'!$G$2:$G$37003,'Accounting data'!$H$2:$H$37003,"14XX*",'Accounting data'!$K$2:$K$37003,"67*")</f>
        <v>0</v>
      </c>
      <c r="L38" s="51">
        <v>0</v>
      </c>
      <c r="M38" s="51">
        <v>0</v>
      </c>
      <c r="N38" s="593">
        <f t="shared" si="2"/>
        <v>0</v>
      </c>
      <c r="O38" s="70" t="s">
        <v>85</v>
      </c>
    </row>
    <row r="39" spans="1:15" ht="12.75" customHeight="1" thickBot="1" x14ac:dyDescent="0.3">
      <c r="A39" t="s">
        <v>358</v>
      </c>
      <c r="D39" s="66" t="s">
        <v>85</v>
      </c>
      <c r="E39" s="224">
        <f>[1]!StP14701499EndBal+'[1]Page 8'!$M$36</f>
        <v>0</v>
      </c>
      <c r="F39" s="56">
        <v>0</v>
      </c>
      <c r="G39" s="224">
        <f>-(SUMIFS('Accounting data'!$G$2:$G$37003,'Accounting data'!$H$2:$H$37003,"1470*",'Accounting data'!$K$2:$K$37003,"1*")+SUMIFS('Accounting data'!$G$2:$G$37003,'Accounting data'!$H$2:$H$37003,"1470*",'Accounting data'!$K$2:$K$37003,"2*")+SUMIFS('Accounting data'!$G$2:$G$37003,'Accounting data'!$H$2:$H$37003,"1470*",'Accounting data'!$K$2:$K$37003,"3*")+SUMIFS('Accounting data'!$G$2:$G$37003,'Accounting data'!$H$2:$H$37003,"1470*",'Accounting data'!$K$2:$K$37003,"4*")+SUMIFS('Accounting data'!$G$2:$G$37003,'Accounting data'!$H$2:$H$37003,"1470*",'Accounting data'!$K$2:$K$37003,"Other*"))</f>
        <v>0</v>
      </c>
      <c r="H39" s="260"/>
      <c r="I39" s="55">
        <v>0</v>
      </c>
      <c r="J39" s="224">
        <f>[3]!SP14701499Other</f>
        <v>0</v>
      </c>
      <c r="K39" s="230">
        <f>SUMIFS('Accounting data'!$G$2:$G$37003,'Accounting data'!$H$2:$H$37003,"1470*",'Accounting data'!$K$2:$K$37003,"6*")-SUMIFS('Accounting data'!$G$2:$G$37003,'Accounting data'!$H$2:$H$37003,"1470*",'Accounting data'!$K$2:$K$37003,"69*")-SUMIFS('Accounting data'!$G$2:$G$37003,'Accounting data'!$H$2:$H$37003,"1470*",'Accounting data'!$K$2:$K$37003,"67*")</f>
        <v>0</v>
      </c>
      <c r="L39" s="55">
        <v>0</v>
      </c>
      <c r="M39" s="55">
        <v>0</v>
      </c>
      <c r="N39" s="593">
        <f t="shared" si="2"/>
        <v>0</v>
      </c>
      <c r="O39" s="66" t="s">
        <v>86</v>
      </c>
    </row>
    <row r="40" spans="1:15" ht="13.8" thickBot="1" x14ac:dyDescent="0.3">
      <c r="A40" t="s">
        <v>1148</v>
      </c>
      <c r="D40" s="66" t="s">
        <v>86</v>
      </c>
      <c r="E40" s="225">
        <f>SUM(E28:E39)</f>
        <v>0</v>
      </c>
      <c r="F40" s="225" cm="1">
        <f t="array" ref="F40">SUM(IF(F28:F39="",E28:E39,F28:F39))</f>
        <v>0</v>
      </c>
      <c r="G40" s="225">
        <f>SUM(G28:G39)</f>
        <v>0</v>
      </c>
      <c r="H40" s="261"/>
      <c r="I40" s="225">
        <f>SUM(I28:I39)</f>
        <v>0</v>
      </c>
      <c r="J40" s="225">
        <f>SUM(J28:J39)</f>
        <v>0</v>
      </c>
      <c r="K40" s="225">
        <f>SUM(K28:K39)</f>
        <v>0</v>
      </c>
      <c r="L40" s="225">
        <f>SUM(L28:L39)</f>
        <v>0</v>
      </c>
      <c r="M40" s="225">
        <f>SUM(M28:M39)</f>
        <v>0</v>
      </c>
      <c r="N40" s="593">
        <f>SUM(IF(F40="",E40,F40)+G40-H40-I40-K40-L40-M40)</f>
        <v>0</v>
      </c>
      <c r="O40" s="66" t="s">
        <v>140</v>
      </c>
    </row>
    <row r="41" spans="1:15" ht="13.8" thickTop="1" x14ac:dyDescent="0.25">
      <c r="D41" s="262"/>
      <c r="E41" s="28"/>
      <c r="F41" s="28"/>
      <c r="G41" s="28"/>
      <c r="H41" s="28"/>
      <c r="I41" s="28"/>
      <c r="J41" s="28"/>
      <c r="K41" s="28"/>
      <c r="L41" s="28"/>
      <c r="M41" s="28"/>
      <c r="N41" s="28"/>
      <c r="O41" s="263"/>
    </row>
    <row r="42" spans="1:15" ht="13.8" thickBot="1" x14ac:dyDescent="0.3">
      <c r="A42" s="217" t="s">
        <v>1147</v>
      </c>
      <c r="B42" s="217"/>
      <c r="C42" s="217"/>
      <c r="D42" s="66" t="s">
        <v>140</v>
      </c>
      <c r="E42" s="264">
        <f>SUM(E23+E40)</f>
        <v>0</v>
      </c>
      <c r="F42" s="264">
        <f>SUM(F23+F40)</f>
        <v>-550</v>
      </c>
      <c r="G42" s="264">
        <f>SUM(G23+G40)</f>
        <v>4243</v>
      </c>
      <c r="H42" s="599">
        <f>H23</f>
        <v>0</v>
      </c>
      <c r="I42" s="264">
        <f>SUM(I23+I40)</f>
        <v>0</v>
      </c>
      <c r="J42" s="264">
        <f>SUM(J23+J40)</f>
        <v>1643</v>
      </c>
      <c r="K42" s="264">
        <f>SUM(K23+K40)</f>
        <v>3693</v>
      </c>
      <c r="L42" s="264">
        <f>SUM(L23+L40)</f>
        <v>0</v>
      </c>
      <c r="M42" s="264">
        <f>SUM(M23+M40)</f>
        <v>0</v>
      </c>
      <c r="N42" s="593">
        <f>SUM(IF(F42="",E42,F42)+G42-H42-I42-K42-L42-M42)</f>
        <v>0</v>
      </c>
      <c r="O42" s="66" t="s">
        <v>141</v>
      </c>
    </row>
  </sheetData>
  <sheetProtection formatCells="0" formatColumns="0" formatRows="0"/>
  <mergeCells count="4">
    <mergeCell ref="A3:D3"/>
    <mergeCell ref="B1:D1"/>
    <mergeCell ref="H1:I1"/>
    <mergeCell ref="J4:K4"/>
  </mergeCells>
  <conditionalFormatting sqref="F6:F22 F25 F28:F39">
    <cfRule type="expression" dxfId="44" priority="1" stopIfTrue="1">
      <formula>$F6=""</formula>
    </cfRule>
  </conditionalFormatting>
  <conditionalFormatting sqref="I6:I22 I28:I39">
    <cfRule type="expression" dxfId="43" priority="7" stopIfTrue="1">
      <formula>$I6=""</formula>
    </cfRule>
  </conditionalFormatting>
  <conditionalFormatting sqref="I25 M25">
    <cfRule type="expression" dxfId="42" priority="5" stopIfTrue="1">
      <formula>I$25=""</formula>
    </cfRule>
  </conditionalFormatting>
  <conditionalFormatting sqref="L22 L28:L39">
    <cfRule type="containsBlanks" dxfId="41" priority="4">
      <formula>LEN(TRIM(L22))=0</formula>
    </cfRule>
  </conditionalFormatting>
  <conditionalFormatting sqref="L25">
    <cfRule type="containsBlanks" dxfId="40" priority="3">
      <formula>LEN(TRIM(L25))=0</formula>
    </cfRule>
  </conditionalFormatting>
  <conditionalFormatting sqref="M6:M22 M28:M39">
    <cfRule type="expression" dxfId="39" priority="6" stopIfTrue="1">
      <formula>$M6=""</formula>
    </cfRule>
  </conditionalFormatting>
  <hyperlinks>
    <hyperlink ref="A3:D3" location="FederalAndStateProjectsPage9" display="FEDERAL AND STATE PROJECTS" xr:uid="{00000000-0004-0000-0800-000000000000}"/>
    <hyperlink ref="A42:C42" location="FederalAndStateProjectsPage9Line30" display="     Total Federal and State Projects (lines 17 and 29)" xr:uid="{00000000-0004-0000-0800-000001000000}"/>
    <hyperlink ref="A21:C22" location="ImpactAidandOtherFederalProjects" display="13__ Impact Aid" xr:uid="{00000000-0004-0000-0800-000002000000}"/>
    <hyperlink ref="A25:C25" location="ImpactAidandOtherFederalProjects" display="Total COVID-19 federal relief projects included in line 17" xr:uid="{00000000-0004-0000-0800-000003000000}"/>
    <hyperlink ref="F3" location="FederalAndStateProjectsAdjustedBeginningProjectBalance" display="Adjusted" xr:uid="{00000000-0004-0000-0800-000004000000}"/>
    <hyperlink ref="F4" location="FederalAndStateProjectsAdjustedBeginningProjectBalance" display="Beginning" xr:uid="{00000000-0004-0000-0800-000005000000}"/>
    <hyperlink ref="F5" location="FederalAndStateProjectsAdjustedBeginningProjectBalance" display="Project Balance" xr:uid="{00000000-0004-0000-0800-000006000000}"/>
  </hyperlinks>
  <pageMargins left="0.75" right="0.25" top="0.25" bottom="0.25" header="0.5" footer="0.15"/>
  <pageSetup paperSize="5" scale="92" orientation="landscape" r:id="rId1"/>
  <headerFooter>
    <oddFooter>&amp;LRev. 8/24 Arizona Department of Education and Auditor General&amp;CFY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A68"/>
  <sheetViews>
    <sheetView showGridLines="0" zoomScaleNormal="100" workbookViewId="0">
      <selection activeCell="G31" sqref="G31"/>
    </sheetView>
  </sheetViews>
  <sheetFormatPr defaultColWidth="9.33203125" defaultRowHeight="12.75" customHeight="1" x14ac:dyDescent="0.25"/>
  <cols>
    <col min="1" max="1" width="19.77734375" style="157" customWidth="1"/>
    <col min="2" max="2" width="42.77734375" style="157" customWidth="1"/>
    <col min="3" max="3" width="3" style="157" customWidth="1"/>
    <col min="4" max="6" width="16.77734375" style="157" customWidth="1"/>
    <col min="7" max="7" width="18.6640625" style="157" customWidth="1"/>
    <col min="8" max="10" width="17.77734375" style="160" customWidth="1"/>
    <col min="11" max="11" width="16.77734375" style="160" customWidth="1"/>
    <col min="12" max="12" width="3" style="157" customWidth="1"/>
    <col min="13" max="13" width="10.77734375" style="157" customWidth="1"/>
    <col min="14" max="14" width="9.33203125" style="157" customWidth="1"/>
    <col min="15" max="15" width="2.33203125" style="157" customWidth="1"/>
    <col min="16" max="16" width="9.33203125" style="157" customWidth="1"/>
    <col min="17" max="25" width="9.33203125" style="157" hidden="1" customWidth="1"/>
    <col min="26" max="29" width="9.33203125" style="157" customWidth="1"/>
    <col min="30" max="16384" width="9.33203125" style="157"/>
  </cols>
  <sheetData>
    <row r="1" spans="1:27" ht="12" customHeight="1" x14ac:dyDescent="0.25">
      <c r="A1" s="609" t="s">
        <v>0</v>
      </c>
      <c r="B1" s="611" t="str">
        <f>'Cover Page'!D1</f>
        <v>AIBT Non-Profit Charter High School</v>
      </c>
      <c r="C1" s="608"/>
      <c r="D1"/>
      <c r="E1" s="61" t="s">
        <v>1</v>
      </c>
      <c r="F1" s="723" t="str">
        <f>'Cover Page'!M1</f>
        <v>Maricopa</v>
      </c>
      <c r="G1" s="723"/>
      <c r="H1"/>
      <c r="I1" s="61"/>
      <c r="J1" s="61" t="s">
        <v>2</v>
      </c>
      <c r="K1" s="610" t="str">
        <f>'Cover Page'!R1</f>
        <v>078286000</v>
      </c>
      <c r="L1" s="265"/>
      <c r="M1" s="608"/>
      <c r="N1" s="625"/>
      <c r="O1" s="625"/>
    </row>
    <row r="2" spans="1:27" ht="12" customHeight="1" x14ac:dyDescent="0.25">
      <c r="A2" s="61"/>
      <c r="B2" s="61"/>
      <c r="C2" s="609"/>
      <c r="D2" s="608"/>
      <c r="E2"/>
      <c r="F2"/>
      <c r="G2"/>
      <c r="H2" s="61"/>
      <c r="I2" s="608"/>
      <c r="J2" s="608"/>
      <c r="K2" s="608"/>
      <c r="L2"/>
      <c r="M2" s="608"/>
      <c r="N2" s="625"/>
      <c r="O2" s="625"/>
    </row>
    <row r="3" spans="1:27" ht="12" customHeight="1" x14ac:dyDescent="0.25">
      <c r="A3" s="266"/>
      <c r="B3" s="266"/>
      <c r="C3" s="266"/>
      <c r="D3" s="266"/>
      <c r="E3" s="266"/>
      <c r="F3" s="266"/>
      <c r="G3" s="266"/>
      <c r="H3" s="266"/>
      <c r="I3" s="266"/>
      <c r="J3" s="266"/>
      <c r="K3" s="266"/>
      <c r="L3" s="266"/>
      <c r="M3" s="266"/>
    </row>
    <row r="4" spans="1:27" ht="12" customHeight="1" x14ac:dyDescent="0.25">
      <c r="A4" s="266"/>
      <c r="B4" s="266"/>
      <c r="C4" s="801" t="s">
        <v>359</v>
      </c>
      <c r="D4" s="801"/>
      <c r="E4" s="801"/>
      <c r="F4" s="801"/>
      <c r="G4" s="801"/>
      <c r="H4" s="801"/>
      <c r="I4" s="801"/>
      <c r="J4" s="801"/>
      <c r="K4" s="801"/>
      <c r="L4" s="801"/>
      <c r="M4" s="266"/>
    </row>
    <row r="5" spans="1:27" ht="12" customHeight="1" x14ac:dyDescent="0.25"/>
    <row r="6" spans="1:27" ht="12" customHeight="1" x14ac:dyDescent="0.25">
      <c r="A6" s="267"/>
      <c r="B6" s="267"/>
      <c r="D6" s="802" t="s">
        <v>360</v>
      </c>
      <c r="E6" s="802"/>
      <c r="F6" s="802"/>
      <c r="G6" s="802"/>
      <c r="H6" s="802"/>
      <c r="I6" s="802"/>
      <c r="J6" s="802"/>
      <c r="K6" s="802"/>
      <c r="L6" s="268"/>
      <c r="M6" s="160"/>
      <c r="N6" s="160"/>
      <c r="V6" s="269"/>
    </row>
    <row r="7" spans="1:27" ht="12" customHeight="1" x14ac:dyDescent="0.25">
      <c r="D7" s="270"/>
      <c r="E7" s="271"/>
      <c r="F7" s="271" t="s">
        <v>153</v>
      </c>
      <c r="G7" s="271"/>
      <c r="H7" s="271"/>
      <c r="I7" s="272"/>
      <c r="J7" s="272" t="s">
        <v>97</v>
      </c>
      <c r="K7" s="273"/>
      <c r="L7" s="274"/>
      <c r="M7" s="160"/>
      <c r="N7" s="160"/>
      <c r="T7" s="269"/>
      <c r="V7" s="269"/>
    </row>
    <row r="8" spans="1:27" ht="12" customHeight="1" x14ac:dyDescent="0.25">
      <c r="D8" s="275"/>
      <c r="E8" s="276" t="s">
        <v>88</v>
      </c>
      <c r="F8" s="276" t="s">
        <v>95</v>
      </c>
      <c r="G8" s="276"/>
      <c r="H8" s="277" t="s">
        <v>361</v>
      </c>
      <c r="I8" s="277"/>
      <c r="J8" s="277" t="s">
        <v>362</v>
      </c>
      <c r="K8" s="273"/>
      <c r="L8" s="278"/>
      <c r="N8" s="160"/>
      <c r="U8" s="269"/>
    </row>
    <row r="9" spans="1:27" ht="12" customHeight="1" x14ac:dyDescent="0.25">
      <c r="D9" s="276" t="s">
        <v>93</v>
      </c>
      <c r="E9" s="279" t="s">
        <v>94</v>
      </c>
      <c r="F9" s="279" t="s">
        <v>363</v>
      </c>
      <c r="G9" s="279" t="s">
        <v>96</v>
      </c>
      <c r="H9" s="277" t="s">
        <v>364</v>
      </c>
      <c r="I9" s="280" t="s">
        <v>365</v>
      </c>
      <c r="J9" s="280" t="s">
        <v>366</v>
      </c>
      <c r="K9" s="281" t="s">
        <v>367</v>
      </c>
      <c r="L9" s="278"/>
      <c r="N9" s="160"/>
      <c r="U9" s="269"/>
      <c r="AA9" s="269"/>
    </row>
    <row r="10" spans="1:27" ht="12" customHeight="1" x14ac:dyDescent="0.25">
      <c r="A10" s="282" t="s">
        <v>368</v>
      </c>
      <c r="B10" s="282"/>
      <c r="D10" s="279">
        <v>6100</v>
      </c>
      <c r="E10" s="279">
        <v>6200</v>
      </c>
      <c r="F10" s="279">
        <v>6500</v>
      </c>
      <c r="G10" s="279">
        <v>6600</v>
      </c>
      <c r="H10" s="279">
        <v>6810</v>
      </c>
      <c r="I10" s="280">
        <v>6890</v>
      </c>
      <c r="J10" s="280" t="s">
        <v>369</v>
      </c>
      <c r="K10" s="283" t="s">
        <v>370</v>
      </c>
      <c r="L10" s="278"/>
      <c r="N10" s="160"/>
      <c r="S10" s="269"/>
      <c r="AA10" s="160"/>
    </row>
    <row r="11" spans="1:27" ht="12" customHeight="1" x14ac:dyDescent="0.25">
      <c r="A11" s="622" t="s">
        <v>206</v>
      </c>
      <c r="B11" s="622"/>
      <c r="C11" s="284" t="s">
        <v>24</v>
      </c>
      <c r="D11" s="593">
        <f>Calculations!E8</f>
        <v>29323</v>
      </c>
      <c r="E11" s="593">
        <f>Calculations!E113</f>
        <v>10871</v>
      </c>
      <c r="F11" s="593">
        <f>Calculations!E238</f>
        <v>1843</v>
      </c>
      <c r="G11" s="593">
        <f>Calculations!E636</f>
        <v>54</v>
      </c>
      <c r="H11" s="593">
        <f>Calculations!E951</f>
        <v>1200</v>
      </c>
      <c r="I11" s="593">
        <f>Calculations!E1116</f>
        <v>0</v>
      </c>
      <c r="J11" s="593">
        <f>Calculations!E1454-H11-I11</f>
        <v>0</v>
      </c>
      <c r="K11" s="586">
        <v>0</v>
      </c>
      <c r="L11" s="285" t="s">
        <v>24</v>
      </c>
      <c r="N11" s="160"/>
      <c r="S11" s="269"/>
      <c r="AA11" s="286" t="str">
        <f>IF(OR(K11="",K14="",K13="",K15="",K16="",K17="",K18="",K19="",K21="",K22="",K24="",K25="",K26=""),"yes","")</f>
        <v/>
      </c>
    </row>
    <row r="12" spans="1:27" ht="12" customHeight="1" x14ac:dyDescent="0.25">
      <c r="A12" s="157" t="s">
        <v>207</v>
      </c>
      <c r="C12" s="284"/>
      <c r="D12" s="287"/>
      <c r="E12" s="287"/>
      <c r="F12" s="287"/>
      <c r="G12" s="287"/>
      <c r="H12" s="287"/>
      <c r="I12" s="287"/>
      <c r="J12" s="287"/>
      <c r="K12" s="88"/>
      <c r="L12" s="285"/>
      <c r="N12" s="160"/>
      <c r="S12" s="269"/>
      <c r="AA12" s="286" t="str">
        <f>IF(OR(E33="",E34="",E35="",E36="",E40="",E41="",E42="",E43="",E44="",E49="",E53="",E54="",E55="",E56=""),"yes","")</f>
        <v/>
      </c>
    </row>
    <row r="13" spans="1:27" ht="12" customHeight="1" x14ac:dyDescent="0.25">
      <c r="A13" s="622" t="s">
        <v>371</v>
      </c>
      <c r="B13" s="622"/>
      <c r="C13" s="284" t="s">
        <v>26</v>
      </c>
      <c r="D13" s="598">
        <f>Calculations!E15</f>
        <v>0</v>
      </c>
      <c r="E13" s="598">
        <f>Calculations!E120</f>
        <v>0</v>
      </c>
      <c r="F13" s="598">
        <f>Calculations!E265</f>
        <v>1300</v>
      </c>
      <c r="G13" s="598">
        <f>Calculations!E643</f>
        <v>0</v>
      </c>
      <c r="H13" s="598">
        <f>Calculations!E958</f>
        <v>0</v>
      </c>
      <c r="I13" s="598">
        <f>Calculations!E1123</f>
        <v>0</v>
      </c>
      <c r="J13" s="598">
        <f>Calculations!E1459-H13-I13</f>
        <v>0</v>
      </c>
      <c r="K13" s="52">
        <v>0</v>
      </c>
      <c r="L13" s="285" t="s">
        <v>26</v>
      </c>
      <c r="W13" s="269"/>
      <c r="AA13" s="286" t="str">
        <f>IF(OR(K30="",K31="",K32="",K36="",K37="",K38="",K41="",K42="",K46="",K47="",K51="",K52="",K53="",K54="",K55="",K56="",K59="",K60=""),"yes","")</f>
        <v/>
      </c>
    </row>
    <row r="14" spans="1:27" ht="12" customHeight="1" x14ac:dyDescent="0.25">
      <c r="A14" s="622" t="s">
        <v>372</v>
      </c>
      <c r="B14" s="622"/>
      <c r="C14" s="284" t="s">
        <v>28</v>
      </c>
      <c r="D14" s="593">
        <f>Calculations!E22</f>
        <v>0</v>
      </c>
      <c r="E14" s="593">
        <f>Calculations!E127</f>
        <v>0</v>
      </c>
      <c r="F14" s="593">
        <f>Calculations!E292</f>
        <v>0</v>
      </c>
      <c r="G14" s="593">
        <f>Calculations!E650</f>
        <v>0</v>
      </c>
      <c r="H14" s="593">
        <f>Calculations!E965</f>
        <v>0</v>
      </c>
      <c r="I14" s="593">
        <f>Calculations!E1130</f>
        <v>0</v>
      </c>
      <c r="J14" s="593">
        <f>Calculations!E1464-H14-I14</f>
        <v>0</v>
      </c>
      <c r="K14" s="52">
        <v>0</v>
      </c>
      <c r="L14" s="288" t="s">
        <v>28</v>
      </c>
      <c r="N14" s="160"/>
      <c r="W14" s="269"/>
      <c r="AA14" s="286" t="str">
        <f>IF(AND(AA11="",AA12="",AA13=""),"","yes")</f>
        <v/>
      </c>
    </row>
    <row r="15" spans="1:27" ht="12" customHeight="1" x14ac:dyDescent="0.25">
      <c r="A15" s="622" t="s">
        <v>373</v>
      </c>
      <c r="B15" s="622"/>
      <c r="C15" s="284" t="s">
        <v>31</v>
      </c>
      <c r="D15" s="593">
        <f>Calculations!E29</f>
        <v>0</v>
      </c>
      <c r="E15" s="593">
        <f>Calculations!E134</f>
        <v>0</v>
      </c>
      <c r="F15" s="593">
        <f>Calculations!E319</f>
        <v>0</v>
      </c>
      <c r="G15" s="593">
        <f>Calculations!E657</f>
        <v>0</v>
      </c>
      <c r="H15" s="593">
        <f>Calculations!E972</f>
        <v>0</v>
      </c>
      <c r="I15" s="593">
        <f>Calculations!E1137</f>
        <v>0</v>
      </c>
      <c r="J15" s="593">
        <f>Calculations!E1469-H15-I15</f>
        <v>0</v>
      </c>
      <c r="K15" s="51">
        <v>0</v>
      </c>
      <c r="L15" s="288" t="s">
        <v>31</v>
      </c>
    </row>
    <row r="16" spans="1:27" ht="12" customHeight="1" x14ac:dyDescent="0.25">
      <c r="A16" s="289" t="s">
        <v>374</v>
      </c>
      <c r="B16" s="289"/>
      <c r="C16" s="290" t="s">
        <v>33</v>
      </c>
      <c r="D16" s="593">
        <f>Calculations!E36</f>
        <v>0</v>
      </c>
      <c r="E16" s="593">
        <f>Calculations!E141</f>
        <v>0</v>
      </c>
      <c r="F16" s="593">
        <f>Calculations!E346</f>
        <v>6550</v>
      </c>
      <c r="G16" s="593">
        <f>Calculations!E664</f>
        <v>51</v>
      </c>
      <c r="H16" s="593">
        <f>Calculations!E979</f>
        <v>0</v>
      </c>
      <c r="I16" s="593">
        <f>Calculations!E1144</f>
        <v>0</v>
      </c>
      <c r="J16" s="593">
        <f>Calculations!E1474-H16-I16</f>
        <v>0</v>
      </c>
      <c r="K16" s="51">
        <v>0</v>
      </c>
      <c r="L16" s="291" t="s">
        <v>33</v>
      </c>
    </row>
    <row r="17" spans="1:12" ht="12" customHeight="1" x14ac:dyDescent="0.25">
      <c r="A17" s="292" t="s">
        <v>375</v>
      </c>
      <c r="B17" s="292"/>
      <c r="C17" s="290" t="s">
        <v>35</v>
      </c>
      <c r="D17" s="593">
        <f>Calculations!E43+Calculations!E50</f>
        <v>0</v>
      </c>
      <c r="E17" s="593">
        <f>Calculations!E148+Calculations!E155</f>
        <v>0</v>
      </c>
      <c r="F17" s="593">
        <f>Calculations!E373+Calculations!E400</f>
        <v>0</v>
      </c>
      <c r="G17" s="593">
        <f>Calculations!E671+Calculations!E678</f>
        <v>0</v>
      </c>
      <c r="H17" s="593">
        <f>Calculations!E986+Calculations!E993</f>
        <v>0</v>
      </c>
      <c r="I17" s="593">
        <f>Calculations!E1151+Calculations!E1158</f>
        <v>0</v>
      </c>
      <c r="J17" s="593">
        <f>Calculations!E1479+Calculations!E1484-Calculations!E1082-H17-I17</f>
        <v>0</v>
      </c>
      <c r="K17" s="51">
        <v>0</v>
      </c>
      <c r="L17" s="291" t="s">
        <v>35</v>
      </c>
    </row>
    <row r="18" spans="1:12" ht="12" customHeight="1" x14ac:dyDescent="0.25">
      <c r="A18" s="622" t="s">
        <v>376</v>
      </c>
      <c r="B18" s="622"/>
      <c r="C18" s="290" t="s">
        <v>37</v>
      </c>
      <c r="D18" s="593">
        <f>Calculations!E57</f>
        <v>0</v>
      </c>
      <c r="E18" s="593">
        <f>Calculations!E162</f>
        <v>0</v>
      </c>
      <c r="F18" s="593">
        <f>Calculations!E427</f>
        <v>4698</v>
      </c>
      <c r="G18" s="593">
        <f>Calculations!E685</f>
        <v>5743</v>
      </c>
      <c r="H18" s="593">
        <f>Calculations!E1000</f>
        <v>0</v>
      </c>
      <c r="I18" s="593">
        <f>Calculations!E1165</f>
        <v>0</v>
      </c>
      <c r="J18" s="593">
        <f>Calculations!E1489-H18-I18</f>
        <v>0</v>
      </c>
      <c r="K18" s="51">
        <v>0</v>
      </c>
      <c r="L18" s="291" t="s">
        <v>37</v>
      </c>
    </row>
    <row r="19" spans="1:12" ht="12" customHeight="1" x14ac:dyDescent="0.25">
      <c r="A19" s="293" t="s">
        <v>377</v>
      </c>
      <c r="B19" s="293"/>
      <c r="C19" s="290" t="s">
        <v>39</v>
      </c>
      <c r="D19" s="593">
        <f>Calculations!E64</f>
        <v>0</v>
      </c>
      <c r="E19" s="593">
        <f>Calculations!E169</f>
        <v>0</v>
      </c>
      <c r="F19" s="593">
        <f>Calculations!E454</f>
        <v>262</v>
      </c>
      <c r="G19" s="593">
        <f>Calculations!E692</f>
        <v>0</v>
      </c>
      <c r="H19" s="593">
        <f>Calculations!E1007</f>
        <v>0</v>
      </c>
      <c r="I19" s="593">
        <f>Calculations!E1172</f>
        <v>0</v>
      </c>
      <c r="J19" s="593">
        <f>Calculations!E1494-H19-I19</f>
        <v>0</v>
      </c>
      <c r="K19" s="54">
        <v>0</v>
      </c>
      <c r="L19" s="291" t="s">
        <v>39</v>
      </c>
    </row>
    <row r="20" spans="1:12" ht="12" customHeight="1" x14ac:dyDescent="0.25">
      <c r="A20" s="622" t="s">
        <v>378</v>
      </c>
      <c r="B20" s="622"/>
      <c r="C20" s="290"/>
      <c r="D20" s="287"/>
      <c r="E20" s="287"/>
      <c r="F20" s="287"/>
      <c r="G20" s="287"/>
      <c r="H20" s="287"/>
      <c r="I20" s="287"/>
      <c r="J20" s="287"/>
      <c r="K20" s="88"/>
      <c r="L20" s="294"/>
    </row>
    <row r="21" spans="1:12" ht="12" customHeight="1" x14ac:dyDescent="0.25">
      <c r="A21" s="293" t="s">
        <v>379</v>
      </c>
      <c r="B21" s="293"/>
      <c r="C21" s="290" t="s">
        <v>41</v>
      </c>
      <c r="D21" s="598">
        <f>Calculations!E71</f>
        <v>0</v>
      </c>
      <c r="E21" s="598">
        <f>Calculations!E176</f>
        <v>0</v>
      </c>
      <c r="F21" s="598">
        <f>Calculations!E481</f>
        <v>0</v>
      </c>
      <c r="G21" s="598">
        <f>Calculations!E699</f>
        <v>0</v>
      </c>
      <c r="H21" s="598">
        <f>Calculations!E1014</f>
        <v>0</v>
      </c>
      <c r="I21" s="598">
        <f>Calculations!E1179</f>
        <v>0</v>
      </c>
      <c r="J21" s="598">
        <f>Calculations!E1499-H21-I21</f>
        <v>0</v>
      </c>
      <c r="K21" s="52">
        <v>0</v>
      </c>
      <c r="L21" s="294" t="s">
        <v>41</v>
      </c>
    </row>
    <row r="22" spans="1:12" ht="12" customHeight="1" x14ac:dyDescent="0.25">
      <c r="A22" s="293" t="s">
        <v>380</v>
      </c>
      <c r="B22" s="293"/>
      <c r="C22" s="290" t="s">
        <v>43</v>
      </c>
      <c r="D22" s="593">
        <f>Calculations!E85</f>
        <v>0</v>
      </c>
      <c r="E22" s="593">
        <f>Calculations!E190</f>
        <v>0</v>
      </c>
      <c r="F22" s="593">
        <f>Calculations!E535</f>
        <v>0</v>
      </c>
      <c r="G22" s="593">
        <f>Calculations!E713</f>
        <v>0</v>
      </c>
      <c r="H22" s="593">
        <f>Calculations!E1028</f>
        <v>0</v>
      </c>
      <c r="I22" s="593">
        <f>Calculations!E1193</f>
        <v>0</v>
      </c>
      <c r="J22" s="593">
        <f>Calculations!E1504-H22-I22</f>
        <v>0</v>
      </c>
      <c r="K22" s="52">
        <v>0</v>
      </c>
      <c r="L22" s="291" t="s">
        <v>43</v>
      </c>
    </row>
    <row r="23" spans="1:12" ht="12" customHeight="1" x14ac:dyDescent="0.25">
      <c r="A23" s="293" t="s">
        <v>381</v>
      </c>
      <c r="B23" s="293"/>
      <c r="C23" s="290" t="s">
        <v>45</v>
      </c>
      <c r="D23" s="593">
        <f t="shared" ref="D23:K23" si="0">SUM(D11:D22)</f>
        <v>29323</v>
      </c>
      <c r="E23" s="593">
        <f t="shared" si="0"/>
        <v>10871</v>
      </c>
      <c r="F23" s="593">
        <f t="shared" si="0"/>
        <v>14653</v>
      </c>
      <c r="G23" s="593">
        <f t="shared" si="0"/>
        <v>5848</v>
      </c>
      <c r="H23" s="593">
        <f t="shared" si="0"/>
        <v>1200</v>
      </c>
      <c r="I23" s="593">
        <f t="shared" si="0"/>
        <v>0</v>
      </c>
      <c r="J23" s="593">
        <f t="shared" si="0"/>
        <v>0</v>
      </c>
      <c r="K23" s="593">
        <f t="shared" si="0"/>
        <v>0</v>
      </c>
      <c r="L23" s="291" t="s">
        <v>45</v>
      </c>
    </row>
    <row r="24" spans="1:12" ht="12" customHeight="1" x14ac:dyDescent="0.25">
      <c r="A24" s="293" t="s">
        <v>382</v>
      </c>
      <c r="B24" s="293"/>
      <c r="C24" s="290" t="s">
        <v>47</v>
      </c>
      <c r="D24" s="593">
        <f>Calculations!E106</f>
        <v>0</v>
      </c>
      <c r="E24" s="593">
        <f>Calculations!E211</f>
        <v>0</v>
      </c>
      <c r="F24" s="593">
        <f>Calculations!E629</f>
        <v>3693</v>
      </c>
      <c r="G24" s="591">
        <f>Calculations!E734+'[2]Food Service AFR'!$E$10+'[2]Food Service AFR'!$E$11</f>
        <v>0</v>
      </c>
      <c r="H24" s="593">
        <f>Calculations!E1049</f>
        <v>0</v>
      </c>
      <c r="I24" s="593">
        <f>Calculations!E1214</f>
        <v>0</v>
      </c>
      <c r="J24" s="593">
        <f>Calculations!E1518-Calculations!E1109-H24-I24</f>
        <v>0</v>
      </c>
      <c r="K24" s="51">
        <v>0</v>
      </c>
      <c r="L24" s="291" t="s">
        <v>47</v>
      </c>
    </row>
    <row r="25" spans="1:12" ht="12" customHeight="1" x14ac:dyDescent="0.25">
      <c r="A25" s="293" t="s">
        <v>383</v>
      </c>
      <c r="B25" s="293"/>
      <c r="C25" s="290" t="s">
        <v>49</v>
      </c>
      <c r="D25" s="593">
        <f>Calculations!E93-Calculations!E106</f>
        <v>29323</v>
      </c>
      <c r="E25" s="593">
        <f>Calculations!E198-Calculations!E211</f>
        <v>10871</v>
      </c>
      <c r="F25" s="593">
        <f>Calculations!E563-Calculations!E629</f>
        <v>10960</v>
      </c>
      <c r="G25" s="591">
        <f>Calculations!E721-Calculations!E734-'[2]Food Service AFR'!$E$10-'[2]Food Service AFR'!$E$11</f>
        <v>5848</v>
      </c>
      <c r="H25" s="593">
        <f>Calculations!E1036-Calculations!E1049</f>
        <v>1200</v>
      </c>
      <c r="I25" s="593">
        <f>Calculations!E1201-Calculations!E1214</f>
        <v>0</v>
      </c>
      <c r="J25" s="593">
        <f>Calculations!E1505-Calculations!E1518-Calculations!E1082-H25-I25</f>
        <v>0</v>
      </c>
      <c r="K25" s="51">
        <v>0</v>
      </c>
      <c r="L25" s="291" t="s">
        <v>49</v>
      </c>
    </row>
    <row r="26" spans="1:12" ht="12" customHeight="1" x14ac:dyDescent="0.25">
      <c r="A26" s="293" t="s">
        <v>384</v>
      </c>
      <c r="B26" s="293"/>
      <c r="C26" s="290" t="s">
        <v>51</v>
      </c>
      <c r="D26" s="593">
        <f>Calculations!E92</f>
        <v>0</v>
      </c>
      <c r="E26" s="593">
        <f>Calculations!E197</f>
        <v>0</v>
      </c>
      <c r="F26" s="593">
        <f>Calculations!E562</f>
        <v>0</v>
      </c>
      <c r="G26" s="593">
        <f>Calculations!E720</f>
        <v>0</v>
      </c>
      <c r="H26" s="593">
        <f>Calculations!E1035</f>
        <v>0</v>
      </c>
      <c r="I26" s="593">
        <f>Calculations!E1200</f>
        <v>0</v>
      </c>
      <c r="J26" s="593">
        <f>Calculations!E1523-H26-I26</f>
        <v>0</v>
      </c>
      <c r="K26" s="51">
        <v>0</v>
      </c>
      <c r="L26" s="291" t="s">
        <v>51</v>
      </c>
    </row>
    <row r="27" spans="1:12" ht="12" customHeight="1" x14ac:dyDescent="0.25">
      <c r="B27" s="622"/>
      <c r="C27" s="290"/>
      <c r="D27" s="295"/>
      <c r="E27" s="295"/>
      <c r="F27" s="295"/>
      <c r="G27" s="295"/>
      <c r="H27" s="295"/>
      <c r="I27" s="295"/>
      <c r="J27" s="295"/>
      <c r="K27" s="296"/>
      <c r="L27" s="295"/>
    </row>
    <row r="28" spans="1:12" ht="13.2" hidden="1" x14ac:dyDescent="0.25">
      <c r="A28" s="297"/>
      <c r="B28" s="622"/>
      <c r="C28" s="290"/>
      <c r="D28" s="295"/>
      <c r="E28" s="295"/>
      <c r="F28" s="295"/>
      <c r="G28" s="295"/>
      <c r="H28" s="295"/>
      <c r="I28" s="295"/>
      <c r="J28" s="295"/>
      <c r="K28" s="296"/>
      <c r="L28" s="295"/>
    </row>
    <row r="29" spans="1:12" ht="12" customHeight="1" x14ac:dyDescent="0.25">
      <c r="A29" s="298"/>
      <c r="B29" s="298"/>
      <c r="C29" s="298"/>
      <c r="D29" s="299" t="s">
        <v>385</v>
      </c>
      <c r="E29" s="300"/>
      <c r="F29" s="301"/>
      <c r="H29" s="302" t="s">
        <v>1193</v>
      </c>
      <c r="I29" s="217"/>
      <c r="J29" s="302"/>
    </row>
    <row r="30" spans="1:12" ht="12" customHeight="1" x14ac:dyDescent="0.25">
      <c r="A30" s="298"/>
      <c r="B30" s="298"/>
      <c r="C30" s="303"/>
      <c r="D30" s="156" t="s">
        <v>386</v>
      </c>
      <c r="E30" s="304"/>
      <c r="F30" s="301"/>
      <c r="H30" s="803" t="s">
        <v>387</v>
      </c>
      <c r="I30" s="803"/>
      <c r="J30" s="804"/>
      <c r="K30" s="51">
        <v>0</v>
      </c>
      <c r="L30" s="305" t="s">
        <v>24</v>
      </c>
    </row>
    <row r="31" spans="1:12" ht="12" customHeight="1" x14ac:dyDescent="0.25">
      <c r="A31" s="298"/>
      <c r="B31" s="298"/>
      <c r="C31" s="303"/>
      <c r="D31" s="156" t="s">
        <v>388</v>
      </c>
      <c r="E31" s="306" t="s">
        <v>389</v>
      </c>
      <c r="F31" s="301"/>
      <c r="H31" s="803" t="s">
        <v>390</v>
      </c>
      <c r="I31" s="803"/>
      <c r="J31" s="804"/>
      <c r="K31" s="51">
        <v>0</v>
      </c>
      <c r="L31" s="305" t="s">
        <v>26</v>
      </c>
    </row>
    <row r="32" spans="1:12" ht="12" customHeight="1" x14ac:dyDescent="0.25">
      <c r="A32" s="298"/>
      <c r="B32" s="298"/>
      <c r="C32" s="303"/>
      <c r="D32" s="307" t="s">
        <v>391</v>
      </c>
      <c r="E32" s="308" t="s">
        <v>370</v>
      </c>
      <c r="F32" s="298"/>
      <c r="H32" s="803" t="s">
        <v>392</v>
      </c>
      <c r="I32" s="803"/>
      <c r="J32" s="804"/>
      <c r="K32" s="51">
        <f>CashBal</f>
        <v>453847</v>
      </c>
      <c r="L32" s="305" t="s">
        <v>28</v>
      </c>
    </row>
    <row r="33" spans="1:12" ht="12" customHeight="1" x14ac:dyDescent="0.25">
      <c r="A33" s="805" t="s">
        <v>393</v>
      </c>
      <c r="B33" s="805"/>
      <c r="C33" s="309"/>
      <c r="D33" s="593">
        <f t="array" ref="D33">SUM(SUMIFS('Accounting data'!$G$2:$G$37003,'Accounting data'!$I$2:$I$37003,"7*",'Accounting data'!$J$2:$J$37003,{"1*","2*","3*","4*","5*"},'Accounting data'!$K$2:$K$37003,"6*"))-SUM(SUMIFS('Accounting data'!$G$2:$G$37003,'Accounting data'!$I$2:$I$37003,"7*",'Accounting data'!$J$2:$J$37003,{"1*","2*","3*","4*","5*"},'Accounting data'!$K$2:$K$37003,"67*"))-SUM(SUMIFS('Accounting data'!$G$2:$G$37003,'Accounting data'!$I$2:$I$37003,"7*",'Accounting data'!$J$2:$J$37003,{"1*","2*","3*","4*","5*"},'Accounting data'!$K$2:$K$37003,"69*"))</f>
        <v>0</v>
      </c>
      <c r="E33" s="51">
        <v>0</v>
      </c>
      <c r="F33" s="310" t="s">
        <v>24</v>
      </c>
      <c r="H33" s="157"/>
      <c r="I33" s="157"/>
      <c r="J33" s="157"/>
      <c r="K33" s="311"/>
    </row>
    <row r="34" spans="1:12" ht="12" customHeight="1" x14ac:dyDescent="0.25">
      <c r="A34" s="803" t="s">
        <v>394</v>
      </c>
      <c r="B34" s="803"/>
      <c r="C34" s="623"/>
      <c r="D34" s="593">
        <f t="array" ref="D34">SUM(SUMIFS('Accounting data'!$G$2:$G$37003,'Accounting data'!$I$2:$I$37003,"8*",'Accounting data'!$J$2:$J$37003,{"1*","2*","3*","4*","5*"},'Accounting data'!$K$2:$K$37003,"6*"))-SUM(SUMIFS('Accounting data'!$G$2:$G$37003,'Accounting data'!$I$2:$I$37003,"8*",'Accounting data'!$J$2:$J$37003,{"1*","2*","3*","4*","5*"},'Accounting data'!$K$2:$K$37003,"67*"))-SUM(SUMIFS('Accounting data'!$G$2:$G$37003,'Accounting data'!$I$2:$I$37003,"8*",'Accounting data'!$J$2:$J$37003,{"1*","2*","3*","4*","5*"},'Accounting data'!$K$2:$K$37003,"69*"))</f>
        <v>0</v>
      </c>
      <c r="E34" s="51">
        <v>0</v>
      </c>
      <c r="F34" s="310" t="s">
        <v>26</v>
      </c>
      <c r="H34" s="157"/>
      <c r="I34" s="157"/>
      <c r="J34" s="157"/>
      <c r="K34" s="311"/>
    </row>
    <row r="35" spans="1:12" ht="12" customHeight="1" x14ac:dyDescent="0.25">
      <c r="A35" s="803" t="s">
        <v>395</v>
      </c>
      <c r="B35" s="803"/>
      <c r="C35" s="623"/>
      <c r="D35" s="593">
        <f t="array" ref="D35">SUM(SUMIFS('Accounting data'!$G$2:$G$37003,'Accounting data'!$I$2:$I$37003,"9*",'Accounting data'!$J$2:$J$37003,{"1*","2*","3*","4*","5*"},'Accounting data'!$K$2:$K$37003,"6*"))-SUM(SUMIFS('Accounting data'!$G$2:$G$37003,'Accounting data'!$I$2:$I$37003,"9*",'Accounting data'!$J$2:$J$37003,{"1*","2*","3*","4*","5*"},'Accounting data'!$K$2:$K$37003,"67*"))-SUM(SUMIFS('Accounting data'!$G$2:$G$37003,'Accounting data'!$I$2:$I$37003,"9*",'Accounting data'!$J$2:$J$37003,{"1*","2*","3*","4*","5*"},'Accounting data'!$K$2:$K$37003,"69*"))</f>
        <v>0</v>
      </c>
      <c r="E35" s="51">
        <v>0</v>
      </c>
      <c r="F35" s="310" t="s">
        <v>28</v>
      </c>
      <c r="H35" s="302" t="s">
        <v>396</v>
      </c>
      <c r="I35" s="217"/>
      <c r="J35" s="157"/>
      <c r="K35" s="311"/>
    </row>
    <row r="36" spans="1:12" ht="12" customHeight="1" x14ac:dyDescent="0.25">
      <c r="A36" s="803" t="s">
        <v>397</v>
      </c>
      <c r="B36" s="803"/>
      <c r="C36" s="309"/>
      <c r="D36" s="593">
        <f>Calculations!E1335</f>
        <v>0</v>
      </c>
      <c r="E36" s="51">
        <v>0</v>
      </c>
      <c r="F36" s="294" t="s">
        <v>31</v>
      </c>
      <c r="H36" s="805" t="s">
        <v>1194</v>
      </c>
      <c r="I36" s="805"/>
      <c r="J36" s="807"/>
      <c r="K36" s="51">
        <v>0</v>
      </c>
      <c r="L36" s="305" t="s">
        <v>24</v>
      </c>
    </row>
    <row r="37" spans="1:12" ht="12" customHeight="1" x14ac:dyDescent="0.25">
      <c r="C37" s="305"/>
      <c r="E37" s="160"/>
      <c r="F37" s="310"/>
      <c r="H37" s="805" t="s">
        <v>1195</v>
      </c>
      <c r="I37" s="805"/>
      <c r="J37" s="807"/>
      <c r="K37" s="51">
        <v>0</v>
      </c>
      <c r="L37" s="305" t="s">
        <v>26</v>
      </c>
    </row>
    <row r="38" spans="1:12" ht="12" customHeight="1" x14ac:dyDescent="0.25">
      <c r="C38" s="305"/>
      <c r="E38" s="160"/>
      <c r="F38" s="310"/>
      <c r="H38" s="805" t="s">
        <v>1196</v>
      </c>
      <c r="I38" s="805"/>
      <c r="J38" s="807"/>
      <c r="K38" s="51">
        <v>0</v>
      </c>
      <c r="L38" s="305" t="s">
        <v>28</v>
      </c>
    </row>
    <row r="39" spans="1:12" ht="12" customHeight="1" x14ac:dyDescent="0.25">
      <c r="A39" s="302" t="s">
        <v>398</v>
      </c>
      <c r="B39" s="217"/>
      <c r="E39" s="312" t="s">
        <v>399</v>
      </c>
      <c r="F39"/>
      <c r="H39" s="805" t="s">
        <v>1197</v>
      </c>
      <c r="I39" s="805"/>
      <c r="J39" s="807"/>
      <c r="K39" s="593">
        <f>K36+K37-K38</f>
        <v>0</v>
      </c>
      <c r="L39" s="305" t="s">
        <v>31</v>
      </c>
    </row>
    <row r="40" spans="1:12" ht="12" customHeight="1" x14ac:dyDescent="0.25">
      <c r="A40" s="806" t="s">
        <v>400</v>
      </c>
      <c r="B40" s="718"/>
      <c r="E40" s="53">
        <v>0</v>
      </c>
      <c r="F40" s="223" t="s">
        <v>24</v>
      </c>
      <c r="K40" s="311"/>
    </row>
    <row r="41" spans="1:12" ht="12" customHeight="1" x14ac:dyDescent="0.25">
      <c r="A41" s="718" t="s">
        <v>401</v>
      </c>
      <c r="B41" s="718"/>
      <c r="C41" s="313"/>
      <c r="E41" s="53">
        <v>0</v>
      </c>
      <c r="F41" s="294" t="s">
        <v>26</v>
      </c>
      <c r="H41" s="805" t="s">
        <v>1198</v>
      </c>
      <c r="I41" s="805"/>
      <c r="J41" s="805"/>
      <c r="K41" s="53">
        <v>0</v>
      </c>
      <c r="L41" s="305" t="s">
        <v>33</v>
      </c>
    </row>
    <row r="42" spans="1:12" ht="12" customHeight="1" x14ac:dyDescent="0.25">
      <c r="A42" s="718" t="s">
        <v>402</v>
      </c>
      <c r="B42" s="718"/>
      <c r="C42" s="313"/>
      <c r="E42" s="53">
        <v>0</v>
      </c>
      <c r="F42" s="294" t="s">
        <v>28</v>
      </c>
      <c r="H42" s="805" t="s">
        <v>1199</v>
      </c>
      <c r="I42" s="805"/>
      <c r="J42" s="805"/>
      <c r="K42" s="53">
        <v>0</v>
      </c>
      <c r="L42" s="305" t="s">
        <v>35</v>
      </c>
    </row>
    <row r="43" spans="1:12" ht="12" customHeight="1" x14ac:dyDescent="0.25">
      <c r="A43" s="718" t="s">
        <v>403</v>
      </c>
      <c r="B43" s="718"/>
      <c r="C43" s="313"/>
      <c r="E43" s="53">
        <v>0</v>
      </c>
      <c r="F43" s="294" t="s">
        <v>31</v>
      </c>
      <c r="K43" s="311"/>
    </row>
    <row r="44" spans="1:12" ht="12" customHeight="1" x14ac:dyDescent="0.25">
      <c r="A44" s="718" t="s">
        <v>404</v>
      </c>
      <c r="B44" s="718"/>
      <c r="C44" s="313"/>
      <c r="E44" s="53">
        <v>0</v>
      </c>
      <c r="F44" s="294" t="s">
        <v>33</v>
      </c>
      <c r="H44" s="305"/>
      <c r="I44" s="314"/>
      <c r="J44" s="314"/>
      <c r="K44" s="315"/>
      <c r="L44" s="314"/>
    </row>
    <row r="45" spans="1:12" ht="12" customHeight="1" x14ac:dyDescent="0.25">
      <c r="A45"/>
      <c r="B45"/>
      <c r="C45" s="305"/>
      <c r="E45"/>
      <c r="F45"/>
      <c r="H45" s="302" t="s">
        <v>405</v>
      </c>
      <c r="I45" s="217"/>
      <c r="J45" s="302"/>
      <c r="K45" s="311"/>
    </row>
    <row r="46" spans="1:12" ht="12.75" customHeight="1" x14ac:dyDescent="0.25">
      <c r="E46" s="316"/>
      <c r="H46" s="805" t="s">
        <v>406</v>
      </c>
      <c r="I46" s="805"/>
      <c r="J46" s="807"/>
      <c r="K46" s="51">
        <f>'Accounting data'!G90</f>
        <v>2948</v>
      </c>
      <c r="L46" s="305" t="s">
        <v>24</v>
      </c>
    </row>
    <row r="47" spans="1:12" ht="12.75" customHeight="1" x14ac:dyDescent="0.25">
      <c r="A47" s="317" t="s">
        <v>407</v>
      </c>
      <c r="B47" s="318"/>
      <c r="C47" s="301"/>
      <c r="E47" s="319" t="s">
        <v>360</v>
      </c>
      <c r="H47" s="805" t="s">
        <v>408</v>
      </c>
      <c r="I47" s="805"/>
      <c r="J47" s="807"/>
      <c r="K47" s="51">
        <f>'Accounting data'!G100</f>
        <v>5743</v>
      </c>
      <c r="L47" s="305" t="s">
        <v>26</v>
      </c>
    </row>
    <row r="48" spans="1:12" ht="12.75" customHeight="1" x14ac:dyDescent="0.25">
      <c r="A48" s="622" t="s">
        <v>409</v>
      </c>
      <c r="B48" s="622"/>
      <c r="C48" s="320"/>
      <c r="E48" s="593">
        <f>Calculations!E1082+Calculations!E1449</f>
        <v>0</v>
      </c>
      <c r="F48" s="310" t="s">
        <v>24</v>
      </c>
      <c r="G48" s="622"/>
      <c r="K48" s="311"/>
    </row>
    <row r="49" spans="1:12" ht="12.75" customHeight="1" x14ac:dyDescent="0.25">
      <c r="A49" s="805" t="s">
        <v>410</v>
      </c>
      <c r="B49" s="805"/>
      <c r="C49" s="320"/>
      <c r="E49" s="51">
        <v>0</v>
      </c>
      <c r="F49" s="310" t="s">
        <v>26</v>
      </c>
      <c r="K49" s="311"/>
    </row>
    <row r="50" spans="1:12" ht="12.75" customHeight="1" x14ac:dyDescent="0.25">
      <c r="A50" s="803" t="s">
        <v>411</v>
      </c>
      <c r="B50" s="803"/>
      <c r="E50" s="593">
        <f>Calculations!E1539-Calculations!E1449</f>
        <v>0</v>
      </c>
      <c r="F50" s="321" t="s">
        <v>28</v>
      </c>
      <c r="H50" s="302" t="s">
        <v>412</v>
      </c>
      <c r="I50" s="302"/>
      <c r="K50" s="311"/>
    </row>
    <row r="51" spans="1:12" ht="12.75" customHeight="1" x14ac:dyDescent="0.25">
      <c r="E51" s="160"/>
      <c r="G51" s="322"/>
      <c r="H51" s="160" t="s">
        <v>413</v>
      </c>
      <c r="K51" s="53">
        <v>0</v>
      </c>
      <c r="L51" s="305" t="s">
        <v>24</v>
      </c>
    </row>
    <row r="52" spans="1:12" ht="12.75" customHeight="1" x14ac:dyDescent="0.25">
      <c r="A52" s="217" t="s">
        <v>414</v>
      </c>
      <c r="B52" s="323"/>
      <c r="C52" s="305"/>
      <c r="E52" s="160"/>
      <c r="G52" s="322"/>
      <c r="H52" s="160" t="s">
        <v>415</v>
      </c>
      <c r="K52" s="53">
        <v>0</v>
      </c>
      <c r="L52" s="305" t="s">
        <v>26</v>
      </c>
    </row>
    <row r="53" spans="1:12" ht="12.75" customHeight="1" x14ac:dyDescent="0.25">
      <c r="A53" s="157" t="s">
        <v>416</v>
      </c>
      <c r="C53" s="284"/>
      <c r="D53" s="324"/>
      <c r="E53" s="53">
        <v>0</v>
      </c>
      <c r="F53" s="325" t="s">
        <v>24</v>
      </c>
      <c r="G53" s="322"/>
      <c r="H53" s="160" t="s">
        <v>417</v>
      </c>
      <c r="K53" s="53">
        <v>0</v>
      </c>
      <c r="L53" s="284" t="s">
        <v>28</v>
      </c>
    </row>
    <row r="54" spans="1:12" ht="12.75" customHeight="1" x14ac:dyDescent="0.25">
      <c r="A54" s="157" t="s">
        <v>418</v>
      </c>
      <c r="C54" s="284"/>
      <c r="D54" s="324"/>
      <c r="E54" s="53">
        <v>0</v>
      </c>
      <c r="F54" s="325" t="s">
        <v>26</v>
      </c>
      <c r="G54" s="322"/>
      <c r="H54" s="160" t="s">
        <v>419</v>
      </c>
      <c r="K54" s="53">
        <v>0</v>
      </c>
      <c r="L54" s="284" t="s">
        <v>31</v>
      </c>
    </row>
    <row r="55" spans="1:12" ht="12.75" customHeight="1" x14ac:dyDescent="0.25">
      <c r="A55" s="157" t="s">
        <v>420</v>
      </c>
      <c r="C55" s="284"/>
      <c r="D55" s="324"/>
      <c r="E55" s="53">
        <v>0</v>
      </c>
      <c r="F55" s="325" t="s">
        <v>28</v>
      </c>
      <c r="G55" s="322"/>
      <c r="H55" s="622" t="s">
        <v>421</v>
      </c>
      <c r="I55" s="622"/>
      <c r="J55" s="622"/>
      <c r="K55" s="53">
        <v>0</v>
      </c>
      <c r="L55" s="284" t="s">
        <v>33</v>
      </c>
    </row>
    <row r="56" spans="1:12" ht="12.75" customHeight="1" x14ac:dyDescent="0.25">
      <c r="A56" s="157" t="s">
        <v>422</v>
      </c>
      <c r="C56" s="284"/>
      <c r="D56" s="324"/>
      <c r="E56" s="53">
        <v>0</v>
      </c>
      <c r="F56" s="325" t="s">
        <v>31</v>
      </c>
      <c r="H56" s="622" t="s">
        <v>423</v>
      </c>
      <c r="I56" s="622"/>
      <c r="J56" s="622"/>
      <c r="K56" s="53">
        <v>0</v>
      </c>
      <c r="L56" s="284" t="s">
        <v>35</v>
      </c>
    </row>
    <row r="57" spans="1:12" ht="12.75" customHeight="1" x14ac:dyDescent="0.25">
      <c r="C57" s="326"/>
      <c r="D57" s="324"/>
      <c r="F57" s="269"/>
      <c r="G57" s="322"/>
      <c r="K57" s="311"/>
      <c r="L57" s="284"/>
    </row>
    <row r="58" spans="1:12" ht="12.75" customHeight="1" x14ac:dyDescent="0.25">
      <c r="G58" s="322"/>
      <c r="H58" s="302" t="s">
        <v>424</v>
      </c>
      <c r="I58" s="302"/>
      <c r="K58" s="311"/>
    </row>
    <row r="59" spans="1:12" ht="12.75" customHeight="1" x14ac:dyDescent="0.25">
      <c r="G59" s="322"/>
      <c r="H59" s="160" t="s">
        <v>425</v>
      </c>
      <c r="K59" s="591">
        <f>SUMIFS('Accounting data'!$G$2:$G$37003,'Accounting data'!$J$2:$J$37003,"2220*")</f>
        <v>0</v>
      </c>
      <c r="L59" s="284" t="s">
        <v>24</v>
      </c>
    </row>
    <row r="60" spans="1:12" ht="12.75" customHeight="1" x14ac:dyDescent="0.25">
      <c r="G60" s="322"/>
      <c r="H60" s="160" t="s">
        <v>426</v>
      </c>
      <c r="K60" s="591">
        <f>SUMIFS('Accounting data'!$G$2:$G$37003,'Accounting data'!$J$2:$J$37003,"2230*")</f>
        <v>0</v>
      </c>
      <c r="L60" s="284" t="s">
        <v>26</v>
      </c>
    </row>
    <row r="61" spans="1:12" ht="15" customHeight="1" x14ac:dyDescent="0.25">
      <c r="G61" s="322"/>
    </row>
    <row r="68" spans="8:8" ht="12.75" customHeight="1" x14ac:dyDescent="0.25">
      <c r="H68" s="160" t="s">
        <v>20</v>
      </c>
    </row>
  </sheetData>
  <sheetProtection formatCells="0" formatColumns="0" formatRows="0"/>
  <mergeCells count="25">
    <mergeCell ref="H37:J37"/>
    <mergeCell ref="H46:J46"/>
    <mergeCell ref="H47:J47"/>
    <mergeCell ref="A49:B49"/>
    <mergeCell ref="A35:B35"/>
    <mergeCell ref="A36:B36"/>
    <mergeCell ref="A41:B41"/>
    <mergeCell ref="A42:B42"/>
    <mergeCell ref="H36:J36"/>
    <mergeCell ref="H42:J42"/>
    <mergeCell ref="H41:J41"/>
    <mergeCell ref="H38:J38"/>
    <mergeCell ref="H39:J39"/>
    <mergeCell ref="A50:B50"/>
    <mergeCell ref="A33:B33"/>
    <mergeCell ref="A44:B44"/>
    <mergeCell ref="A40:B40"/>
    <mergeCell ref="A43:B43"/>
    <mergeCell ref="A34:B34"/>
    <mergeCell ref="F1:G1"/>
    <mergeCell ref="C4:L4"/>
    <mergeCell ref="D6:K6"/>
    <mergeCell ref="H32:J32"/>
    <mergeCell ref="H30:J30"/>
    <mergeCell ref="H31:J31"/>
  </mergeCells>
  <conditionalFormatting sqref="E33:E36 E49 E53:E56">
    <cfRule type="expression" dxfId="38" priority="6" stopIfTrue="1">
      <formula>$E33=""</formula>
    </cfRule>
  </conditionalFormatting>
  <conditionalFormatting sqref="E40:E44">
    <cfRule type="expression" dxfId="37" priority="2" stopIfTrue="1">
      <formula>$E40=""</formula>
    </cfRule>
  </conditionalFormatting>
  <conditionalFormatting sqref="K11 K13:K19 K21:K22 K24:K26 K30:K32 K36:K38 K41:K42 K46:K47 K51:K56">
    <cfRule type="expression" dxfId="36" priority="5" stopIfTrue="1">
      <formula>$K11=""</formula>
    </cfRule>
  </conditionalFormatting>
  <conditionalFormatting sqref="K59:K60">
    <cfRule type="expression" dxfId="35" priority="3" stopIfTrue="1">
      <formula>$K59=""</formula>
    </cfRule>
  </conditionalFormatting>
  <dataValidations count="2">
    <dataValidation allowBlank="1" showInputMessage="1" showErrorMessage="1" prompt="This amount has been adjusted to include federal food service revenue amounts included on the FS AFR." sqref="G24" xr:uid="{00000000-0002-0000-09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900-000001000000}"/>
  </dataValidations>
  <hyperlinks>
    <hyperlink ref="E31:E32" location="PropertyDisbursements" display="Property " xr:uid="{00000000-0004-0000-0900-000000000000}"/>
    <hyperlink ref="A39:B39" location="PropertyDisbursementsByType" display="Property Disbursements by Type" xr:uid="{00000000-0004-0000-0900-000001000000}"/>
    <hyperlink ref="A47" location="DebtService" display="Debt Service" xr:uid="{00000000-0004-0000-0900-000002000000}"/>
    <hyperlink ref="H35" location="DebtService" display="Debt Service" xr:uid="{00000000-0004-0000-0900-000003000000}"/>
    <hyperlink ref="H45" location="DebtService" display="Debt Service" xr:uid="{00000000-0004-0000-0900-000004000000}"/>
    <hyperlink ref="H35:I35" location="LongandShortTermDebt" display="Long-term and Short-term Debt" xr:uid="{00000000-0004-0000-0900-000005000000}"/>
    <hyperlink ref="H45:J45" location="UtilitiesandEnergyServices" display="Utilities and Energy Detail (Function 2600)" xr:uid="{00000000-0004-0000-0900-000006000000}"/>
    <hyperlink ref="H50" location="TechnologyDetail" display="Technology" xr:uid="{00000000-0004-0000-0900-000007000000}"/>
    <hyperlink ref="H29:J29" location="CashandInvestments" display="Cash and Investments held at June 30, 2017" xr:uid="{00000000-0004-0000-0900-000008000000}"/>
    <hyperlink ref="K9:K10" location="PropertyDisbursements" display="Property" xr:uid="{00000000-0004-0000-0900-000009000000}"/>
    <hyperlink ref="A52:B52" location="Revenue_From_Selected_Federal_Sources" display="Revenue from selected federal sources " xr:uid="{00000000-0004-0000-0900-00000A000000}"/>
    <hyperlink ref="H58" location="SupportServicesInstructionDetail" display="Support services-instruction detail" xr:uid="{00000000-0004-0000-0900-00000B000000}"/>
  </hyperlinks>
  <pageMargins left="0.75" right="0.25" top="0.25" bottom="0.25" header="0.5" footer="0.15"/>
  <pageSetup paperSize="5" scale="77" orientation="landscape" r:id="rId1"/>
  <headerFooter>
    <oddFooter>&amp;LRev. 8/24 Arizona Department of Education and Auditor General&amp;CFY 2024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V49"/>
  <sheetViews>
    <sheetView showGridLines="0" zoomScaleNormal="100" workbookViewId="0">
      <selection activeCell="E39" sqref="E39"/>
    </sheetView>
  </sheetViews>
  <sheetFormatPr defaultColWidth="9" defaultRowHeight="13.2" x14ac:dyDescent="0.25"/>
  <cols>
    <col min="1" max="1" width="48.33203125" style="328" customWidth="1"/>
    <col min="2" max="2" width="2.77734375" style="328" customWidth="1"/>
    <col min="3" max="3" width="35.33203125" style="328" customWidth="1"/>
    <col min="4" max="4" width="13.77734375" style="328" bestFit="1" customWidth="1"/>
    <col min="5" max="5" width="15.33203125" style="328" customWidth="1"/>
    <col min="6" max="6" width="14.109375" style="328" customWidth="1"/>
    <col min="7" max="7" width="15.109375" style="328" customWidth="1"/>
    <col min="8" max="8" width="13.33203125" style="329" customWidth="1"/>
    <col min="9" max="9" width="17.33203125" style="329" customWidth="1"/>
    <col min="10" max="10" width="15.109375" style="329" customWidth="1"/>
    <col min="11" max="11" width="20.33203125" style="329" customWidth="1"/>
    <col min="12" max="12" width="16" style="328" customWidth="1"/>
    <col min="13" max="13" width="16.77734375" style="328" customWidth="1"/>
    <col min="14" max="14" width="16" style="328" customWidth="1"/>
    <col min="15" max="15" width="14.77734375" style="328" customWidth="1"/>
    <col min="16" max="16" width="17.33203125" style="328" customWidth="1"/>
    <col min="17" max="17" width="14.77734375" style="328" customWidth="1"/>
    <col min="18" max="21" width="9" style="334" customWidth="1"/>
    <col min="22" max="26" width="9" style="335" customWidth="1"/>
    <col min="27" max="27" width="8.109375" style="335" bestFit="1" customWidth="1"/>
    <col min="28" max="29" width="9" style="335" customWidth="1"/>
    <col min="30" max="34" width="10.33203125" style="336" customWidth="1"/>
    <col min="35" max="35" width="9" style="336" customWidth="1"/>
    <col min="36" max="48" width="9" style="334" customWidth="1"/>
    <col min="49" max="256" width="9" style="328" customWidth="1"/>
    <col min="257" max="257" width="60.33203125" style="328" customWidth="1"/>
    <col min="258" max="258" width="2.77734375" style="328" customWidth="1"/>
    <col min="259" max="259" width="14.77734375" style="328" customWidth="1"/>
    <col min="260" max="260" width="13.77734375" style="328" bestFit="1" customWidth="1"/>
    <col min="261" max="261" width="15.33203125" style="328" customWidth="1"/>
    <col min="262" max="262" width="14.109375" style="328" customWidth="1"/>
    <col min="263" max="263" width="15.109375" style="328" customWidth="1"/>
    <col min="264" max="264" width="13.33203125" style="328" customWidth="1"/>
    <col min="265" max="265" width="17.33203125" style="328" customWidth="1"/>
    <col min="266" max="266" width="15.109375" style="328" customWidth="1"/>
    <col min="267" max="267" width="19.6640625" style="328" customWidth="1"/>
    <col min="268" max="270" width="16" style="328" customWidth="1"/>
    <col min="271" max="271" width="14.77734375" style="328" customWidth="1"/>
    <col min="272" max="272" width="17.33203125" style="328" customWidth="1"/>
    <col min="273" max="273" width="14.77734375" style="328" customWidth="1"/>
    <col min="274" max="282" width="9" style="328" customWidth="1"/>
    <col min="283" max="283" width="7.109375" style="328" bestFit="1" customWidth="1"/>
    <col min="284" max="285" width="9" style="328" customWidth="1"/>
    <col min="286" max="290" width="10.33203125" style="328" customWidth="1"/>
    <col min="291" max="512" width="9" style="328" customWidth="1"/>
    <col min="513" max="513" width="60.33203125" style="328" customWidth="1"/>
    <col min="514" max="514" width="2.77734375" style="328" customWidth="1"/>
    <col min="515" max="515" width="14.77734375" style="328" customWidth="1"/>
    <col min="516" max="516" width="13.77734375" style="328" bestFit="1" customWidth="1"/>
    <col min="517" max="517" width="15.33203125" style="328" customWidth="1"/>
    <col min="518" max="518" width="14.109375" style="328" customWidth="1"/>
    <col min="519" max="519" width="15.109375" style="328" customWidth="1"/>
    <col min="520" max="520" width="13.33203125" style="328" customWidth="1"/>
    <col min="521" max="521" width="17.33203125" style="328" customWidth="1"/>
    <col min="522" max="522" width="15.109375" style="328" customWidth="1"/>
    <col min="523" max="523" width="19.6640625" style="328" customWidth="1"/>
    <col min="524" max="526" width="16" style="328" customWidth="1"/>
    <col min="527" max="527" width="14.77734375" style="328" customWidth="1"/>
    <col min="528" max="528" width="17.33203125" style="328" customWidth="1"/>
    <col min="529" max="529" width="14.77734375" style="328" customWidth="1"/>
    <col min="530" max="538" width="9" style="328" customWidth="1"/>
    <col min="539" max="539" width="7.109375" style="328" bestFit="1" customWidth="1"/>
    <col min="540" max="541" width="9" style="328" customWidth="1"/>
    <col min="542" max="546" width="10.33203125" style="328" customWidth="1"/>
    <col min="547" max="768" width="9" style="328" customWidth="1"/>
    <col min="769" max="769" width="60.33203125" style="328" customWidth="1"/>
    <col min="770" max="770" width="2.77734375" style="328" customWidth="1"/>
    <col min="771" max="771" width="14.77734375" style="328" customWidth="1"/>
    <col min="772" max="772" width="13.77734375" style="328" bestFit="1" customWidth="1"/>
    <col min="773" max="773" width="15.33203125" style="328" customWidth="1"/>
    <col min="774" max="774" width="14.109375" style="328" customWidth="1"/>
    <col min="775" max="775" width="15.109375" style="328" customWidth="1"/>
    <col min="776" max="776" width="13.33203125" style="328" customWidth="1"/>
    <col min="777" max="777" width="17.33203125" style="328" customWidth="1"/>
    <col min="778" max="778" width="15.109375" style="328" customWidth="1"/>
    <col min="779" max="779" width="19.6640625" style="328" customWidth="1"/>
    <col min="780" max="782" width="16" style="328" customWidth="1"/>
    <col min="783" max="783" width="14.77734375" style="328" customWidth="1"/>
    <col min="784" max="784" width="17.33203125" style="328" customWidth="1"/>
    <col min="785" max="785" width="14.77734375" style="328" customWidth="1"/>
    <col min="786" max="794" width="9" style="328" customWidth="1"/>
    <col min="795" max="795" width="7.109375" style="328" bestFit="1" customWidth="1"/>
    <col min="796" max="797" width="9" style="328" customWidth="1"/>
    <col min="798" max="802" width="10.33203125" style="328" customWidth="1"/>
    <col min="803" max="1024" width="9" style="328" customWidth="1"/>
    <col min="1025" max="1025" width="60.33203125" style="328" customWidth="1"/>
    <col min="1026" max="1026" width="2.77734375" style="328" customWidth="1"/>
    <col min="1027" max="1027" width="14.77734375" style="328" customWidth="1"/>
    <col min="1028" max="1028" width="13.77734375" style="328" bestFit="1" customWidth="1"/>
    <col min="1029" max="1029" width="15.33203125" style="328" customWidth="1"/>
    <col min="1030" max="1030" width="14.109375" style="328" customWidth="1"/>
    <col min="1031" max="1031" width="15.109375" style="328" customWidth="1"/>
    <col min="1032" max="1032" width="13.33203125" style="328" customWidth="1"/>
    <col min="1033" max="1033" width="17.33203125" style="328" customWidth="1"/>
    <col min="1034" max="1034" width="15.109375" style="328" customWidth="1"/>
    <col min="1035" max="1035" width="19.6640625" style="328" customWidth="1"/>
    <col min="1036" max="1038" width="16" style="328" customWidth="1"/>
    <col min="1039" max="1039" width="14.77734375" style="328" customWidth="1"/>
    <col min="1040" max="1040" width="17.33203125" style="328" customWidth="1"/>
    <col min="1041" max="1041" width="14.77734375" style="328" customWidth="1"/>
    <col min="1042" max="1050" width="9" style="328" customWidth="1"/>
    <col min="1051" max="1051" width="7.109375" style="328" bestFit="1" customWidth="1"/>
    <col min="1052" max="1053" width="9" style="328" customWidth="1"/>
    <col min="1054" max="1058" width="10.33203125" style="328" customWidth="1"/>
    <col min="1059" max="1280" width="9" style="328" customWidth="1"/>
    <col min="1281" max="1281" width="60.33203125" style="328" customWidth="1"/>
    <col min="1282" max="1282" width="2.77734375" style="328" customWidth="1"/>
    <col min="1283" max="1283" width="14.77734375" style="328" customWidth="1"/>
    <col min="1284" max="1284" width="13.77734375" style="328" bestFit="1" customWidth="1"/>
    <col min="1285" max="1285" width="15.33203125" style="328" customWidth="1"/>
    <col min="1286" max="1286" width="14.109375" style="328" customWidth="1"/>
    <col min="1287" max="1287" width="15.109375" style="328" customWidth="1"/>
    <col min="1288" max="1288" width="13.33203125" style="328" customWidth="1"/>
    <col min="1289" max="1289" width="17.33203125" style="328" customWidth="1"/>
    <col min="1290" max="1290" width="15.109375" style="328" customWidth="1"/>
    <col min="1291" max="1291" width="19.6640625" style="328" customWidth="1"/>
    <col min="1292" max="1294" width="16" style="328" customWidth="1"/>
    <col min="1295" max="1295" width="14.77734375" style="328" customWidth="1"/>
    <col min="1296" max="1296" width="17.33203125" style="328" customWidth="1"/>
    <col min="1297" max="1297" width="14.77734375" style="328" customWidth="1"/>
    <col min="1298" max="1306" width="9" style="328" customWidth="1"/>
    <col min="1307" max="1307" width="7.109375" style="328" bestFit="1" customWidth="1"/>
    <col min="1308" max="1309" width="9" style="328" customWidth="1"/>
    <col min="1310" max="1314" width="10.33203125" style="328" customWidth="1"/>
    <col min="1315" max="1536" width="9" style="328" customWidth="1"/>
    <col min="1537" max="1537" width="60.33203125" style="328" customWidth="1"/>
    <col min="1538" max="1538" width="2.77734375" style="328" customWidth="1"/>
    <col min="1539" max="1539" width="14.77734375" style="328" customWidth="1"/>
    <col min="1540" max="1540" width="13.77734375" style="328" bestFit="1" customWidth="1"/>
    <col min="1541" max="1541" width="15.33203125" style="328" customWidth="1"/>
    <col min="1542" max="1542" width="14.109375" style="328" customWidth="1"/>
    <col min="1543" max="1543" width="15.109375" style="328" customWidth="1"/>
    <col min="1544" max="1544" width="13.33203125" style="328" customWidth="1"/>
    <col min="1545" max="1545" width="17.33203125" style="328" customWidth="1"/>
    <col min="1546" max="1546" width="15.109375" style="328" customWidth="1"/>
    <col min="1547" max="1547" width="19.6640625" style="328" customWidth="1"/>
    <col min="1548" max="1550" width="16" style="328" customWidth="1"/>
    <col min="1551" max="1551" width="14.77734375" style="328" customWidth="1"/>
    <col min="1552" max="1552" width="17.33203125" style="328" customWidth="1"/>
    <col min="1553" max="1553" width="14.77734375" style="328" customWidth="1"/>
    <col min="1554" max="1562" width="9" style="328" customWidth="1"/>
    <col min="1563" max="1563" width="7.109375" style="328" bestFit="1" customWidth="1"/>
    <col min="1564" max="1565" width="9" style="328" customWidth="1"/>
    <col min="1566" max="1570" width="10.33203125" style="328" customWidth="1"/>
    <col min="1571" max="1792" width="9" style="328" customWidth="1"/>
    <col min="1793" max="1793" width="60.33203125" style="328" customWidth="1"/>
    <col min="1794" max="1794" width="2.77734375" style="328" customWidth="1"/>
    <col min="1795" max="1795" width="14.77734375" style="328" customWidth="1"/>
    <col min="1796" max="1796" width="13.77734375" style="328" bestFit="1" customWidth="1"/>
    <col min="1797" max="1797" width="15.33203125" style="328" customWidth="1"/>
    <col min="1798" max="1798" width="14.109375" style="328" customWidth="1"/>
    <col min="1799" max="1799" width="15.109375" style="328" customWidth="1"/>
    <col min="1800" max="1800" width="13.33203125" style="328" customWidth="1"/>
    <col min="1801" max="1801" width="17.33203125" style="328" customWidth="1"/>
    <col min="1802" max="1802" width="15.109375" style="328" customWidth="1"/>
    <col min="1803" max="1803" width="19.6640625" style="328" customWidth="1"/>
    <col min="1804" max="1806" width="16" style="328" customWidth="1"/>
    <col min="1807" max="1807" width="14.77734375" style="328" customWidth="1"/>
    <col min="1808" max="1808" width="17.33203125" style="328" customWidth="1"/>
    <col min="1809" max="1809" width="14.77734375" style="328" customWidth="1"/>
    <col min="1810" max="1818" width="9" style="328" customWidth="1"/>
    <col min="1819" max="1819" width="7.109375" style="328" bestFit="1" customWidth="1"/>
    <col min="1820" max="1821" width="9" style="328" customWidth="1"/>
    <col min="1822" max="1826" width="10.33203125" style="328" customWidth="1"/>
    <col min="1827" max="2048" width="9" style="328" customWidth="1"/>
    <col min="2049" max="2049" width="60.33203125" style="328" customWidth="1"/>
    <col min="2050" max="2050" width="2.77734375" style="328" customWidth="1"/>
    <col min="2051" max="2051" width="14.77734375" style="328" customWidth="1"/>
    <col min="2052" max="2052" width="13.77734375" style="328" bestFit="1" customWidth="1"/>
    <col min="2053" max="2053" width="15.33203125" style="328" customWidth="1"/>
    <col min="2054" max="2054" width="14.109375" style="328" customWidth="1"/>
    <col min="2055" max="2055" width="15.109375" style="328" customWidth="1"/>
    <col min="2056" max="2056" width="13.33203125" style="328" customWidth="1"/>
    <col min="2057" max="2057" width="17.33203125" style="328" customWidth="1"/>
    <col min="2058" max="2058" width="15.109375" style="328" customWidth="1"/>
    <col min="2059" max="2059" width="19.6640625" style="328" customWidth="1"/>
    <col min="2060" max="2062" width="16" style="328" customWidth="1"/>
    <col min="2063" max="2063" width="14.77734375" style="328" customWidth="1"/>
    <col min="2064" max="2064" width="17.33203125" style="328" customWidth="1"/>
    <col min="2065" max="2065" width="14.77734375" style="328" customWidth="1"/>
    <col min="2066" max="2074" width="9" style="328" customWidth="1"/>
    <col min="2075" max="2075" width="7.109375" style="328" bestFit="1" customWidth="1"/>
    <col min="2076" max="2077" width="9" style="328" customWidth="1"/>
    <col min="2078" max="2082" width="10.33203125" style="328" customWidth="1"/>
    <col min="2083" max="2304" width="9" style="328" customWidth="1"/>
    <col min="2305" max="2305" width="60.33203125" style="328" customWidth="1"/>
    <col min="2306" max="2306" width="2.77734375" style="328" customWidth="1"/>
    <col min="2307" max="2307" width="14.77734375" style="328" customWidth="1"/>
    <col min="2308" max="2308" width="13.77734375" style="328" bestFit="1" customWidth="1"/>
    <col min="2309" max="2309" width="15.33203125" style="328" customWidth="1"/>
    <col min="2310" max="2310" width="14.109375" style="328" customWidth="1"/>
    <col min="2311" max="2311" width="15.109375" style="328" customWidth="1"/>
    <col min="2312" max="2312" width="13.33203125" style="328" customWidth="1"/>
    <col min="2313" max="2313" width="17.33203125" style="328" customWidth="1"/>
    <col min="2314" max="2314" width="15.109375" style="328" customWidth="1"/>
    <col min="2315" max="2315" width="19.6640625" style="328" customWidth="1"/>
    <col min="2316" max="2318" width="16" style="328" customWidth="1"/>
    <col min="2319" max="2319" width="14.77734375" style="328" customWidth="1"/>
    <col min="2320" max="2320" width="17.33203125" style="328" customWidth="1"/>
    <col min="2321" max="2321" width="14.77734375" style="328" customWidth="1"/>
    <col min="2322" max="2330" width="9" style="328" customWidth="1"/>
    <col min="2331" max="2331" width="7.109375" style="328" bestFit="1" customWidth="1"/>
    <col min="2332" max="2333" width="9" style="328" customWidth="1"/>
    <col min="2334" max="2338" width="10.33203125" style="328" customWidth="1"/>
    <col min="2339" max="2560" width="9" style="328" customWidth="1"/>
    <col min="2561" max="2561" width="60.33203125" style="328" customWidth="1"/>
    <col min="2562" max="2562" width="2.77734375" style="328" customWidth="1"/>
    <col min="2563" max="2563" width="14.77734375" style="328" customWidth="1"/>
    <col min="2564" max="2564" width="13.77734375" style="328" bestFit="1" customWidth="1"/>
    <col min="2565" max="2565" width="15.33203125" style="328" customWidth="1"/>
    <col min="2566" max="2566" width="14.109375" style="328" customWidth="1"/>
    <col min="2567" max="2567" width="15.109375" style="328" customWidth="1"/>
    <col min="2568" max="2568" width="13.33203125" style="328" customWidth="1"/>
    <col min="2569" max="2569" width="17.33203125" style="328" customWidth="1"/>
    <col min="2570" max="2570" width="15.109375" style="328" customWidth="1"/>
    <col min="2571" max="2571" width="19.6640625" style="328" customWidth="1"/>
    <col min="2572" max="2574" width="16" style="328" customWidth="1"/>
    <col min="2575" max="2575" width="14.77734375" style="328" customWidth="1"/>
    <col min="2576" max="2576" width="17.33203125" style="328" customWidth="1"/>
    <col min="2577" max="2577" width="14.77734375" style="328" customWidth="1"/>
    <col min="2578" max="2586" width="9" style="328" customWidth="1"/>
    <col min="2587" max="2587" width="7.109375" style="328" bestFit="1" customWidth="1"/>
    <col min="2588" max="2589" width="9" style="328" customWidth="1"/>
    <col min="2590" max="2594" width="10.33203125" style="328" customWidth="1"/>
    <col min="2595" max="2816" width="9" style="328" customWidth="1"/>
    <col min="2817" max="2817" width="60.33203125" style="328" customWidth="1"/>
    <col min="2818" max="2818" width="2.77734375" style="328" customWidth="1"/>
    <col min="2819" max="2819" width="14.77734375" style="328" customWidth="1"/>
    <col min="2820" max="2820" width="13.77734375" style="328" bestFit="1" customWidth="1"/>
    <col min="2821" max="2821" width="15.33203125" style="328" customWidth="1"/>
    <col min="2822" max="2822" width="14.109375" style="328" customWidth="1"/>
    <col min="2823" max="2823" width="15.109375" style="328" customWidth="1"/>
    <col min="2824" max="2824" width="13.33203125" style="328" customWidth="1"/>
    <col min="2825" max="2825" width="17.33203125" style="328" customWidth="1"/>
    <col min="2826" max="2826" width="15.109375" style="328" customWidth="1"/>
    <col min="2827" max="2827" width="19.6640625" style="328" customWidth="1"/>
    <col min="2828" max="2830" width="16" style="328" customWidth="1"/>
    <col min="2831" max="2831" width="14.77734375" style="328" customWidth="1"/>
    <col min="2832" max="2832" width="17.33203125" style="328" customWidth="1"/>
    <col min="2833" max="2833" width="14.77734375" style="328" customWidth="1"/>
    <col min="2834" max="2842" width="9" style="328" customWidth="1"/>
    <col min="2843" max="2843" width="7.109375" style="328" bestFit="1" customWidth="1"/>
    <col min="2844" max="2845" width="9" style="328" customWidth="1"/>
    <col min="2846" max="2850" width="10.33203125" style="328" customWidth="1"/>
    <col min="2851" max="3072" width="9" style="328" customWidth="1"/>
    <col min="3073" max="3073" width="60.33203125" style="328" customWidth="1"/>
    <col min="3074" max="3074" width="2.77734375" style="328" customWidth="1"/>
    <col min="3075" max="3075" width="14.77734375" style="328" customWidth="1"/>
    <col min="3076" max="3076" width="13.77734375" style="328" bestFit="1" customWidth="1"/>
    <col min="3077" max="3077" width="15.33203125" style="328" customWidth="1"/>
    <col min="3078" max="3078" width="14.109375" style="328" customWidth="1"/>
    <col min="3079" max="3079" width="15.109375" style="328" customWidth="1"/>
    <col min="3080" max="3080" width="13.33203125" style="328" customWidth="1"/>
    <col min="3081" max="3081" width="17.33203125" style="328" customWidth="1"/>
    <col min="3082" max="3082" width="15.109375" style="328" customWidth="1"/>
    <col min="3083" max="3083" width="19.6640625" style="328" customWidth="1"/>
    <col min="3084" max="3086" width="16" style="328" customWidth="1"/>
    <col min="3087" max="3087" width="14.77734375" style="328" customWidth="1"/>
    <col min="3088" max="3088" width="17.33203125" style="328" customWidth="1"/>
    <col min="3089" max="3089" width="14.77734375" style="328" customWidth="1"/>
    <col min="3090" max="3098" width="9" style="328" customWidth="1"/>
    <col min="3099" max="3099" width="7.109375" style="328" bestFit="1" customWidth="1"/>
    <col min="3100" max="3101" width="9" style="328" customWidth="1"/>
    <col min="3102" max="3106" width="10.33203125" style="328" customWidth="1"/>
    <col min="3107" max="3328" width="9" style="328" customWidth="1"/>
    <col min="3329" max="3329" width="60.33203125" style="328" customWidth="1"/>
    <col min="3330" max="3330" width="2.77734375" style="328" customWidth="1"/>
    <col min="3331" max="3331" width="14.77734375" style="328" customWidth="1"/>
    <col min="3332" max="3332" width="13.77734375" style="328" bestFit="1" customWidth="1"/>
    <col min="3333" max="3333" width="15.33203125" style="328" customWidth="1"/>
    <col min="3334" max="3334" width="14.109375" style="328" customWidth="1"/>
    <col min="3335" max="3335" width="15.109375" style="328" customWidth="1"/>
    <col min="3336" max="3336" width="13.33203125" style="328" customWidth="1"/>
    <col min="3337" max="3337" width="17.33203125" style="328" customWidth="1"/>
    <col min="3338" max="3338" width="15.109375" style="328" customWidth="1"/>
    <col min="3339" max="3339" width="19.6640625" style="328" customWidth="1"/>
    <col min="3340" max="3342" width="16" style="328" customWidth="1"/>
    <col min="3343" max="3343" width="14.77734375" style="328" customWidth="1"/>
    <col min="3344" max="3344" width="17.33203125" style="328" customWidth="1"/>
    <col min="3345" max="3345" width="14.77734375" style="328" customWidth="1"/>
    <col min="3346" max="3354" width="9" style="328" customWidth="1"/>
    <col min="3355" max="3355" width="7.109375" style="328" bestFit="1" customWidth="1"/>
    <col min="3356" max="3357" width="9" style="328" customWidth="1"/>
    <col min="3358" max="3362" width="10.33203125" style="328" customWidth="1"/>
    <col min="3363" max="3584" width="9" style="328" customWidth="1"/>
    <col min="3585" max="3585" width="60.33203125" style="328" customWidth="1"/>
    <col min="3586" max="3586" width="2.77734375" style="328" customWidth="1"/>
    <col min="3587" max="3587" width="14.77734375" style="328" customWidth="1"/>
    <col min="3588" max="3588" width="13.77734375" style="328" bestFit="1" customWidth="1"/>
    <col min="3589" max="3589" width="15.33203125" style="328" customWidth="1"/>
    <col min="3590" max="3590" width="14.109375" style="328" customWidth="1"/>
    <col min="3591" max="3591" width="15.109375" style="328" customWidth="1"/>
    <col min="3592" max="3592" width="13.33203125" style="328" customWidth="1"/>
    <col min="3593" max="3593" width="17.33203125" style="328" customWidth="1"/>
    <col min="3594" max="3594" width="15.109375" style="328" customWidth="1"/>
    <col min="3595" max="3595" width="19.6640625" style="328" customWidth="1"/>
    <col min="3596" max="3598" width="16" style="328" customWidth="1"/>
    <col min="3599" max="3599" width="14.77734375" style="328" customWidth="1"/>
    <col min="3600" max="3600" width="17.33203125" style="328" customWidth="1"/>
    <col min="3601" max="3601" width="14.77734375" style="328" customWidth="1"/>
    <col min="3602" max="3610" width="9" style="328" customWidth="1"/>
    <col min="3611" max="3611" width="7.109375" style="328" bestFit="1" customWidth="1"/>
    <col min="3612" max="3613" width="9" style="328" customWidth="1"/>
    <col min="3614" max="3618" width="10.33203125" style="328" customWidth="1"/>
    <col min="3619" max="3840" width="9" style="328" customWidth="1"/>
    <col min="3841" max="3841" width="60.33203125" style="328" customWidth="1"/>
    <col min="3842" max="3842" width="2.77734375" style="328" customWidth="1"/>
    <col min="3843" max="3843" width="14.77734375" style="328" customWidth="1"/>
    <col min="3844" max="3844" width="13.77734375" style="328" bestFit="1" customWidth="1"/>
    <col min="3845" max="3845" width="15.33203125" style="328" customWidth="1"/>
    <col min="3846" max="3846" width="14.109375" style="328" customWidth="1"/>
    <col min="3847" max="3847" width="15.109375" style="328" customWidth="1"/>
    <col min="3848" max="3848" width="13.33203125" style="328" customWidth="1"/>
    <col min="3849" max="3849" width="17.33203125" style="328" customWidth="1"/>
    <col min="3850" max="3850" width="15.109375" style="328" customWidth="1"/>
    <col min="3851" max="3851" width="19.6640625" style="328" customWidth="1"/>
    <col min="3852" max="3854" width="16" style="328" customWidth="1"/>
    <col min="3855" max="3855" width="14.77734375" style="328" customWidth="1"/>
    <col min="3856" max="3856" width="17.33203125" style="328" customWidth="1"/>
    <col min="3857" max="3857" width="14.77734375" style="328" customWidth="1"/>
    <col min="3858" max="3866" width="9" style="328" customWidth="1"/>
    <col min="3867" max="3867" width="7.109375" style="328" bestFit="1" customWidth="1"/>
    <col min="3868" max="3869" width="9" style="328" customWidth="1"/>
    <col min="3870" max="3874" width="10.33203125" style="328" customWidth="1"/>
    <col min="3875" max="4096" width="9" style="328" customWidth="1"/>
    <col min="4097" max="4097" width="60.33203125" style="328" customWidth="1"/>
    <col min="4098" max="4098" width="2.77734375" style="328" customWidth="1"/>
    <col min="4099" max="4099" width="14.77734375" style="328" customWidth="1"/>
    <col min="4100" max="4100" width="13.77734375" style="328" bestFit="1" customWidth="1"/>
    <col min="4101" max="4101" width="15.33203125" style="328" customWidth="1"/>
    <col min="4102" max="4102" width="14.109375" style="328" customWidth="1"/>
    <col min="4103" max="4103" width="15.109375" style="328" customWidth="1"/>
    <col min="4104" max="4104" width="13.33203125" style="328" customWidth="1"/>
    <col min="4105" max="4105" width="17.33203125" style="328" customWidth="1"/>
    <col min="4106" max="4106" width="15.109375" style="328" customWidth="1"/>
    <col min="4107" max="4107" width="19.6640625" style="328" customWidth="1"/>
    <col min="4108" max="4110" width="16" style="328" customWidth="1"/>
    <col min="4111" max="4111" width="14.77734375" style="328" customWidth="1"/>
    <col min="4112" max="4112" width="17.33203125" style="328" customWidth="1"/>
    <col min="4113" max="4113" width="14.77734375" style="328" customWidth="1"/>
    <col min="4114" max="4122" width="9" style="328" customWidth="1"/>
    <col min="4123" max="4123" width="7.109375" style="328" bestFit="1" customWidth="1"/>
    <col min="4124" max="4125" width="9" style="328" customWidth="1"/>
    <col min="4126" max="4130" width="10.33203125" style="328" customWidth="1"/>
    <col min="4131" max="4352" width="9" style="328" customWidth="1"/>
    <col min="4353" max="4353" width="60.33203125" style="328" customWidth="1"/>
    <col min="4354" max="4354" width="2.77734375" style="328" customWidth="1"/>
    <col min="4355" max="4355" width="14.77734375" style="328" customWidth="1"/>
    <col min="4356" max="4356" width="13.77734375" style="328" bestFit="1" customWidth="1"/>
    <col min="4357" max="4357" width="15.33203125" style="328" customWidth="1"/>
    <col min="4358" max="4358" width="14.109375" style="328" customWidth="1"/>
    <col min="4359" max="4359" width="15.109375" style="328" customWidth="1"/>
    <col min="4360" max="4360" width="13.33203125" style="328" customWidth="1"/>
    <col min="4361" max="4361" width="17.33203125" style="328" customWidth="1"/>
    <col min="4362" max="4362" width="15.109375" style="328" customWidth="1"/>
    <col min="4363" max="4363" width="19.6640625" style="328" customWidth="1"/>
    <col min="4364" max="4366" width="16" style="328" customWidth="1"/>
    <col min="4367" max="4367" width="14.77734375" style="328" customWidth="1"/>
    <col min="4368" max="4368" width="17.33203125" style="328" customWidth="1"/>
    <col min="4369" max="4369" width="14.77734375" style="328" customWidth="1"/>
    <col min="4370" max="4378" width="9" style="328" customWidth="1"/>
    <col min="4379" max="4379" width="7.109375" style="328" bestFit="1" customWidth="1"/>
    <col min="4380" max="4381" width="9" style="328" customWidth="1"/>
    <col min="4382" max="4386" width="10.33203125" style="328" customWidth="1"/>
    <col min="4387" max="4608" width="9" style="328" customWidth="1"/>
    <col min="4609" max="4609" width="60.33203125" style="328" customWidth="1"/>
    <col min="4610" max="4610" width="2.77734375" style="328" customWidth="1"/>
    <col min="4611" max="4611" width="14.77734375" style="328" customWidth="1"/>
    <col min="4612" max="4612" width="13.77734375" style="328" bestFit="1" customWidth="1"/>
    <col min="4613" max="4613" width="15.33203125" style="328" customWidth="1"/>
    <col min="4614" max="4614" width="14.109375" style="328" customWidth="1"/>
    <col min="4615" max="4615" width="15.109375" style="328" customWidth="1"/>
    <col min="4616" max="4616" width="13.33203125" style="328" customWidth="1"/>
    <col min="4617" max="4617" width="17.33203125" style="328" customWidth="1"/>
    <col min="4618" max="4618" width="15.109375" style="328" customWidth="1"/>
    <col min="4619" max="4619" width="19.6640625" style="328" customWidth="1"/>
    <col min="4620" max="4622" width="16" style="328" customWidth="1"/>
    <col min="4623" max="4623" width="14.77734375" style="328" customWidth="1"/>
    <col min="4624" max="4624" width="17.33203125" style="328" customWidth="1"/>
    <col min="4625" max="4625" width="14.77734375" style="328" customWidth="1"/>
    <col min="4626" max="4634" width="9" style="328" customWidth="1"/>
    <col min="4635" max="4635" width="7.109375" style="328" bestFit="1" customWidth="1"/>
    <col min="4636" max="4637" width="9" style="328" customWidth="1"/>
    <col min="4638" max="4642" width="10.33203125" style="328" customWidth="1"/>
    <col min="4643" max="4864" width="9" style="328" customWidth="1"/>
    <col min="4865" max="4865" width="60.33203125" style="328" customWidth="1"/>
    <col min="4866" max="4866" width="2.77734375" style="328" customWidth="1"/>
    <col min="4867" max="4867" width="14.77734375" style="328" customWidth="1"/>
    <col min="4868" max="4868" width="13.77734375" style="328" bestFit="1" customWidth="1"/>
    <col min="4869" max="4869" width="15.33203125" style="328" customWidth="1"/>
    <col min="4870" max="4870" width="14.109375" style="328" customWidth="1"/>
    <col min="4871" max="4871" width="15.109375" style="328" customWidth="1"/>
    <col min="4872" max="4872" width="13.33203125" style="328" customWidth="1"/>
    <col min="4873" max="4873" width="17.33203125" style="328" customWidth="1"/>
    <col min="4874" max="4874" width="15.109375" style="328" customWidth="1"/>
    <col min="4875" max="4875" width="19.6640625" style="328" customWidth="1"/>
    <col min="4876" max="4878" width="16" style="328" customWidth="1"/>
    <col min="4879" max="4879" width="14.77734375" style="328" customWidth="1"/>
    <col min="4880" max="4880" width="17.33203125" style="328" customWidth="1"/>
    <col min="4881" max="4881" width="14.77734375" style="328" customWidth="1"/>
    <col min="4882" max="4890" width="9" style="328" customWidth="1"/>
    <col min="4891" max="4891" width="7.109375" style="328" bestFit="1" customWidth="1"/>
    <col min="4892" max="4893" width="9" style="328" customWidth="1"/>
    <col min="4894" max="4898" width="10.33203125" style="328" customWidth="1"/>
    <col min="4899" max="5120" width="9" style="328" customWidth="1"/>
    <col min="5121" max="5121" width="60.33203125" style="328" customWidth="1"/>
    <col min="5122" max="5122" width="2.77734375" style="328" customWidth="1"/>
    <col min="5123" max="5123" width="14.77734375" style="328" customWidth="1"/>
    <col min="5124" max="5124" width="13.77734375" style="328" bestFit="1" customWidth="1"/>
    <col min="5125" max="5125" width="15.33203125" style="328" customWidth="1"/>
    <col min="5126" max="5126" width="14.109375" style="328" customWidth="1"/>
    <col min="5127" max="5127" width="15.109375" style="328" customWidth="1"/>
    <col min="5128" max="5128" width="13.33203125" style="328" customWidth="1"/>
    <col min="5129" max="5129" width="17.33203125" style="328" customWidth="1"/>
    <col min="5130" max="5130" width="15.109375" style="328" customWidth="1"/>
    <col min="5131" max="5131" width="19.6640625" style="328" customWidth="1"/>
    <col min="5132" max="5134" width="16" style="328" customWidth="1"/>
    <col min="5135" max="5135" width="14.77734375" style="328" customWidth="1"/>
    <col min="5136" max="5136" width="17.33203125" style="328" customWidth="1"/>
    <col min="5137" max="5137" width="14.77734375" style="328" customWidth="1"/>
    <col min="5138" max="5146" width="9" style="328" customWidth="1"/>
    <col min="5147" max="5147" width="7.109375" style="328" bestFit="1" customWidth="1"/>
    <col min="5148" max="5149" width="9" style="328" customWidth="1"/>
    <col min="5150" max="5154" width="10.33203125" style="328" customWidth="1"/>
    <col min="5155" max="5376" width="9" style="328" customWidth="1"/>
    <col min="5377" max="5377" width="60.33203125" style="328" customWidth="1"/>
    <col min="5378" max="5378" width="2.77734375" style="328" customWidth="1"/>
    <col min="5379" max="5379" width="14.77734375" style="328" customWidth="1"/>
    <col min="5380" max="5380" width="13.77734375" style="328" bestFit="1" customWidth="1"/>
    <col min="5381" max="5381" width="15.33203125" style="328" customWidth="1"/>
    <col min="5382" max="5382" width="14.109375" style="328" customWidth="1"/>
    <col min="5383" max="5383" width="15.109375" style="328" customWidth="1"/>
    <col min="5384" max="5384" width="13.33203125" style="328" customWidth="1"/>
    <col min="5385" max="5385" width="17.33203125" style="328" customWidth="1"/>
    <col min="5386" max="5386" width="15.109375" style="328" customWidth="1"/>
    <col min="5387" max="5387" width="19.6640625" style="328" customWidth="1"/>
    <col min="5388" max="5390" width="16" style="328" customWidth="1"/>
    <col min="5391" max="5391" width="14.77734375" style="328" customWidth="1"/>
    <col min="5392" max="5392" width="17.33203125" style="328" customWidth="1"/>
    <col min="5393" max="5393" width="14.77734375" style="328" customWidth="1"/>
    <col min="5394" max="5402" width="9" style="328" customWidth="1"/>
    <col min="5403" max="5403" width="7.109375" style="328" bestFit="1" customWidth="1"/>
    <col min="5404" max="5405" width="9" style="328" customWidth="1"/>
    <col min="5406" max="5410" width="10.33203125" style="328" customWidth="1"/>
    <col min="5411" max="5632" width="9" style="328" customWidth="1"/>
    <col min="5633" max="5633" width="60.33203125" style="328" customWidth="1"/>
    <col min="5634" max="5634" width="2.77734375" style="328" customWidth="1"/>
    <col min="5635" max="5635" width="14.77734375" style="328" customWidth="1"/>
    <col min="5636" max="5636" width="13.77734375" style="328" bestFit="1" customWidth="1"/>
    <col min="5637" max="5637" width="15.33203125" style="328" customWidth="1"/>
    <col min="5638" max="5638" width="14.109375" style="328" customWidth="1"/>
    <col min="5639" max="5639" width="15.109375" style="328" customWidth="1"/>
    <col min="5640" max="5640" width="13.33203125" style="328" customWidth="1"/>
    <col min="5641" max="5641" width="17.33203125" style="328" customWidth="1"/>
    <col min="5642" max="5642" width="15.109375" style="328" customWidth="1"/>
    <col min="5643" max="5643" width="19.6640625" style="328" customWidth="1"/>
    <col min="5644" max="5646" width="16" style="328" customWidth="1"/>
    <col min="5647" max="5647" width="14.77734375" style="328" customWidth="1"/>
    <col min="5648" max="5648" width="17.33203125" style="328" customWidth="1"/>
    <col min="5649" max="5649" width="14.77734375" style="328" customWidth="1"/>
    <col min="5650" max="5658" width="9" style="328" customWidth="1"/>
    <col min="5659" max="5659" width="7.109375" style="328" bestFit="1" customWidth="1"/>
    <col min="5660" max="5661" width="9" style="328" customWidth="1"/>
    <col min="5662" max="5666" width="10.33203125" style="328" customWidth="1"/>
    <col min="5667" max="5888" width="9" style="328" customWidth="1"/>
    <col min="5889" max="5889" width="60.33203125" style="328" customWidth="1"/>
    <col min="5890" max="5890" width="2.77734375" style="328" customWidth="1"/>
    <col min="5891" max="5891" width="14.77734375" style="328" customWidth="1"/>
    <col min="5892" max="5892" width="13.77734375" style="328" bestFit="1" customWidth="1"/>
    <col min="5893" max="5893" width="15.33203125" style="328" customWidth="1"/>
    <col min="5894" max="5894" width="14.109375" style="328" customWidth="1"/>
    <col min="5895" max="5895" width="15.109375" style="328" customWidth="1"/>
    <col min="5896" max="5896" width="13.33203125" style="328" customWidth="1"/>
    <col min="5897" max="5897" width="17.33203125" style="328" customWidth="1"/>
    <col min="5898" max="5898" width="15.109375" style="328" customWidth="1"/>
    <col min="5899" max="5899" width="19.6640625" style="328" customWidth="1"/>
    <col min="5900" max="5902" width="16" style="328" customWidth="1"/>
    <col min="5903" max="5903" width="14.77734375" style="328" customWidth="1"/>
    <col min="5904" max="5904" width="17.33203125" style="328" customWidth="1"/>
    <col min="5905" max="5905" width="14.77734375" style="328" customWidth="1"/>
    <col min="5906" max="5914" width="9" style="328" customWidth="1"/>
    <col min="5915" max="5915" width="7.109375" style="328" bestFit="1" customWidth="1"/>
    <col min="5916" max="5917" width="9" style="328" customWidth="1"/>
    <col min="5918" max="5922" width="10.33203125" style="328" customWidth="1"/>
    <col min="5923" max="6144" width="9" style="328" customWidth="1"/>
    <col min="6145" max="6145" width="60.33203125" style="328" customWidth="1"/>
    <col min="6146" max="6146" width="2.77734375" style="328" customWidth="1"/>
    <col min="6147" max="6147" width="14.77734375" style="328" customWidth="1"/>
    <col min="6148" max="6148" width="13.77734375" style="328" bestFit="1" customWidth="1"/>
    <col min="6149" max="6149" width="15.33203125" style="328" customWidth="1"/>
    <col min="6150" max="6150" width="14.109375" style="328" customWidth="1"/>
    <col min="6151" max="6151" width="15.109375" style="328" customWidth="1"/>
    <col min="6152" max="6152" width="13.33203125" style="328" customWidth="1"/>
    <col min="6153" max="6153" width="17.33203125" style="328" customWidth="1"/>
    <col min="6154" max="6154" width="15.109375" style="328" customWidth="1"/>
    <col min="6155" max="6155" width="19.6640625" style="328" customWidth="1"/>
    <col min="6156" max="6158" width="16" style="328" customWidth="1"/>
    <col min="6159" max="6159" width="14.77734375" style="328" customWidth="1"/>
    <col min="6160" max="6160" width="17.33203125" style="328" customWidth="1"/>
    <col min="6161" max="6161" width="14.77734375" style="328" customWidth="1"/>
    <col min="6162" max="6170" width="9" style="328" customWidth="1"/>
    <col min="6171" max="6171" width="7.109375" style="328" bestFit="1" customWidth="1"/>
    <col min="6172" max="6173" width="9" style="328" customWidth="1"/>
    <col min="6174" max="6178" width="10.33203125" style="328" customWidth="1"/>
    <col min="6179" max="6400" width="9" style="328" customWidth="1"/>
    <col min="6401" max="6401" width="60.33203125" style="328" customWidth="1"/>
    <col min="6402" max="6402" width="2.77734375" style="328" customWidth="1"/>
    <col min="6403" max="6403" width="14.77734375" style="328" customWidth="1"/>
    <col min="6404" max="6404" width="13.77734375" style="328" bestFit="1" customWidth="1"/>
    <col min="6405" max="6405" width="15.33203125" style="328" customWidth="1"/>
    <col min="6406" max="6406" width="14.109375" style="328" customWidth="1"/>
    <col min="6407" max="6407" width="15.109375" style="328" customWidth="1"/>
    <col min="6408" max="6408" width="13.33203125" style="328" customWidth="1"/>
    <col min="6409" max="6409" width="17.33203125" style="328" customWidth="1"/>
    <col min="6410" max="6410" width="15.109375" style="328" customWidth="1"/>
    <col min="6411" max="6411" width="19.6640625" style="328" customWidth="1"/>
    <col min="6412" max="6414" width="16" style="328" customWidth="1"/>
    <col min="6415" max="6415" width="14.77734375" style="328" customWidth="1"/>
    <col min="6416" max="6416" width="17.33203125" style="328" customWidth="1"/>
    <col min="6417" max="6417" width="14.77734375" style="328" customWidth="1"/>
    <col min="6418" max="6426" width="9" style="328" customWidth="1"/>
    <col min="6427" max="6427" width="7.109375" style="328" bestFit="1" customWidth="1"/>
    <col min="6428" max="6429" width="9" style="328" customWidth="1"/>
    <col min="6430" max="6434" width="10.33203125" style="328" customWidth="1"/>
    <col min="6435" max="6656" width="9" style="328" customWidth="1"/>
    <col min="6657" max="6657" width="60.33203125" style="328" customWidth="1"/>
    <col min="6658" max="6658" width="2.77734375" style="328" customWidth="1"/>
    <col min="6659" max="6659" width="14.77734375" style="328" customWidth="1"/>
    <col min="6660" max="6660" width="13.77734375" style="328" bestFit="1" customWidth="1"/>
    <col min="6661" max="6661" width="15.33203125" style="328" customWidth="1"/>
    <col min="6662" max="6662" width="14.109375" style="328" customWidth="1"/>
    <col min="6663" max="6663" width="15.109375" style="328" customWidth="1"/>
    <col min="6664" max="6664" width="13.33203125" style="328" customWidth="1"/>
    <col min="6665" max="6665" width="17.33203125" style="328" customWidth="1"/>
    <col min="6666" max="6666" width="15.109375" style="328" customWidth="1"/>
    <col min="6667" max="6667" width="19.6640625" style="328" customWidth="1"/>
    <col min="6668" max="6670" width="16" style="328" customWidth="1"/>
    <col min="6671" max="6671" width="14.77734375" style="328" customWidth="1"/>
    <col min="6672" max="6672" width="17.33203125" style="328" customWidth="1"/>
    <col min="6673" max="6673" width="14.77734375" style="328" customWidth="1"/>
    <col min="6674" max="6682" width="9" style="328" customWidth="1"/>
    <col min="6683" max="6683" width="7.109375" style="328" bestFit="1" customWidth="1"/>
    <col min="6684" max="6685" width="9" style="328" customWidth="1"/>
    <col min="6686" max="6690" width="10.33203125" style="328" customWidth="1"/>
    <col min="6691" max="6912" width="9" style="328" customWidth="1"/>
    <col min="6913" max="6913" width="60.33203125" style="328" customWidth="1"/>
    <col min="6914" max="6914" width="2.77734375" style="328" customWidth="1"/>
    <col min="6915" max="6915" width="14.77734375" style="328" customWidth="1"/>
    <col min="6916" max="6916" width="13.77734375" style="328" bestFit="1" customWidth="1"/>
    <col min="6917" max="6917" width="15.33203125" style="328" customWidth="1"/>
    <col min="6918" max="6918" width="14.109375" style="328" customWidth="1"/>
    <col min="6919" max="6919" width="15.109375" style="328" customWidth="1"/>
    <col min="6920" max="6920" width="13.33203125" style="328" customWidth="1"/>
    <col min="6921" max="6921" width="17.33203125" style="328" customWidth="1"/>
    <col min="6922" max="6922" width="15.109375" style="328" customWidth="1"/>
    <col min="6923" max="6923" width="19.6640625" style="328" customWidth="1"/>
    <col min="6924" max="6926" width="16" style="328" customWidth="1"/>
    <col min="6927" max="6927" width="14.77734375" style="328" customWidth="1"/>
    <col min="6928" max="6928" width="17.33203125" style="328" customWidth="1"/>
    <col min="6929" max="6929" width="14.77734375" style="328" customWidth="1"/>
    <col min="6930" max="6938" width="9" style="328" customWidth="1"/>
    <col min="6939" max="6939" width="7.109375" style="328" bestFit="1" customWidth="1"/>
    <col min="6940" max="6941" width="9" style="328" customWidth="1"/>
    <col min="6942" max="6946" width="10.33203125" style="328" customWidth="1"/>
    <col min="6947" max="7168" width="9" style="328" customWidth="1"/>
    <col min="7169" max="7169" width="60.33203125" style="328" customWidth="1"/>
    <col min="7170" max="7170" width="2.77734375" style="328" customWidth="1"/>
    <col min="7171" max="7171" width="14.77734375" style="328" customWidth="1"/>
    <col min="7172" max="7172" width="13.77734375" style="328" bestFit="1" customWidth="1"/>
    <col min="7173" max="7173" width="15.33203125" style="328" customWidth="1"/>
    <col min="7174" max="7174" width="14.109375" style="328" customWidth="1"/>
    <col min="7175" max="7175" width="15.109375" style="328" customWidth="1"/>
    <col min="7176" max="7176" width="13.33203125" style="328" customWidth="1"/>
    <col min="7177" max="7177" width="17.33203125" style="328" customWidth="1"/>
    <col min="7178" max="7178" width="15.109375" style="328" customWidth="1"/>
    <col min="7179" max="7179" width="19.6640625" style="328" customWidth="1"/>
    <col min="7180" max="7182" width="16" style="328" customWidth="1"/>
    <col min="7183" max="7183" width="14.77734375" style="328" customWidth="1"/>
    <col min="7184" max="7184" width="17.33203125" style="328" customWidth="1"/>
    <col min="7185" max="7185" width="14.77734375" style="328" customWidth="1"/>
    <col min="7186" max="7194" width="9" style="328" customWidth="1"/>
    <col min="7195" max="7195" width="7.109375" style="328" bestFit="1" customWidth="1"/>
    <col min="7196" max="7197" width="9" style="328" customWidth="1"/>
    <col min="7198" max="7202" width="10.33203125" style="328" customWidth="1"/>
    <col min="7203" max="7424" width="9" style="328" customWidth="1"/>
    <col min="7425" max="7425" width="60.33203125" style="328" customWidth="1"/>
    <col min="7426" max="7426" width="2.77734375" style="328" customWidth="1"/>
    <col min="7427" max="7427" width="14.77734375" style="328" customWidth="1"/>
    <col min="7428" max="7428" width="13.77734375" style="328" bestFit="1" customWidth="1"/>
    <col min="7429" max="7429" width="15.33203125" style="328" customWidth="1"/>
    <col min="7430" max="7430" width="14.109375" style="328" customWidth="1"/>
    <col min="7431" max="7431" width="15.109375" style="328" customWidth="1"/>
    <col min="7432" max="7432" width="13.33203125" style="328" customWidth="1"/>
    <col min="7433" max="7433" width="17.33203125" style="328" customWidth="1"/>
    <col min="7434" max="7434" width="15.109375" style="328" customWidth="1"/>
    <col min="7435" max="7435" width="19.6640625" style="328" customWidth="1"/>
    <col min="7436" max="7438" width="16" style="328" customWidth="1"/>
    <col min="7439" max="7439" width="14.77734375" style="328" customWidth="1"/>
    <col min="7440" max="7440" width="17.33203125" style="328" customWidth="1"/>
    <col min="7441" max="7441" width="14.77734375" style="328" customWidth="1"/>
    <col min="7442" max="7450" width="9" style="328" customWidth="1"/>
    <col min="7451" max="7451" width="7.109375" style="328" bestFit="1" customWidth="1"/>
    <col min="7452" max="7453" width="9" style="328" customWidth="1"/>
    <col min="7454" max="7458" width="10.33203125" style="328" customWidth="1"/>
    <col min="7459" max="7680" width="9" style="328" customWidth="1"/>
    <col min="7681" max="7681" width="60.33203125" style="328" customWidth="1"/>
    <col min="7682" max="7682" width="2.77734375" style="328" customWidth="1"/>
    <col min="7683" max="7683" width="14.77734375" style="328" customWidth="1"/>
    <col min="7684" max="7684" width="13.77734375" style="328" bestFit="1" customWidth="1"/>
    <col min="7685" max="7685" width="15.33203125" style="328" customWidth="1"/>
    <col min="7686" max="7686" width="14.109375" style="328" customWidth="1"/>
    <col min="7687" max="7687" width="15.109375" style="328" customWidth="1"/>
    <col min="7688" max="7688" width="13.33203125" style="328" customWidth="1"/>
    <col min="7689" max="7689" width="17.33203125" style="328" customWidth="1"/>
    <col min="7690" max="7690" width="15.109375" style="328" customWidth="1"/>
    <col min="7691" max="7691" width="19.6640625" style="328" customWidth="1"/>
    <col min="7692" max="7694" width="16" style="328" customWidth="1"/>
    <col min="7695" max="7695" width="14.77734375" style="328" customWidth="1"/>
    <col min="7696" max="7696" width="17.33203125" style="328" customWidth="1"/>
    <col min="7697" max="7697" width="14.77734375" style="328" customWidth="1"/>
    <col min="7698" max="7706" width="9" style="328" customWidth="1"/>
    <col min="7707" max="7707" width="7.109375" style="328" bestFit="1" customWidth="1"/>
    <col min="7708" max="7709" width="9" style="328" customWidth="1"/>
    <col min="7710" max="7714" width="10.33203125" style="328" customWidth="1"/>
    <col min="7715" max="7936" width="9" style="328" customWidth="1"/>
    <col min="7937" max="7937" width="60.33203125" style="328" customWidth="1"/>
    <col min="7938" max="7938" width="2.77734375" style="328" customWidth="1"/>
    <col min="7939" max="7939" width="14.77734375" style="328" customWidth="1"/>
    <col min="7940" max="7940" width="13.77734375" style="328" bestFit="1" customWidth="1"/>
    <col min="7941" max="7941" width="15.33203125" style="328" customWidth="1"/>
    <col min="7942" max="7942" width="14.109375" style="328" customWidth="1"/>
    <col min="7943" max="7943" width="15.109375" style="328" customWidth="1"/>
    <col min="7944" max="7944" width="13.33203125" style="328" customWidth="1"/>
    <col min="7945" max="7945" width="17.33203125" style="328" customWidth="1"/>
    <col min="7946" max="7946" width="15.109375" style="328" customWidth="1"/>
    <col min="7947" max="7947" width="19.6640625" style="328" customWidth="1"/>
    <col min="7948" max="7950" width="16" style="328" customWidth="1"/>
    <col min="7951" max="7951" width="14.77734375" style="328" customWidth="1"/>
    <col min="7952" max="7952" width="17.33203125" style="328" customWidth="1"/>
    <col min="7953" max="7953" width="14.77734375" style="328" customWidth="1"/>
    <col min="7954" max="7962" width="9" style="328" customWidth="1"/>
    <col min="7963" max="7963" width="7.109375" style="328" bestFit="1" customWidth="1"/>
    <col min="7964" max="7965" width="9" style="328" customWidth="1"/>
    <col min="7966" max="7970" width="10.33203125" style="328" customWidth="1"/>
    <col min="7971" max="8192" width="9" style="328" customWidth="1"/>
    <col min="8193" max="8193" width="60.33203125" style="328" customWidth="1"/>
    <col min="8194" max="8194" width="2.77734375" style="328" customWidth="1"/>
    <col min="8195" max="8195" width="14.77734375" style="328" customWidth="1"/>
    <col min="8196" max="8196" width="13.77734375" style="328" bestFit="1" customWidth="1"/>
    <col min="8197" max="8197" width="15.33203125" style="328" customWidth="1"/>
    <col min="8198" max="8198" width="14.109375" style="328" customWidth="1"/>
    <col min="8199" max="8199" width="15.109375" style="328" customWidth="1"/>
    <col min="8200" max="8200" width="13.33203125" style="328" customWidth="1"/>
    <col min="8201" max="8201" width="17.33203125" style="328" customWidth="1"/>
    <col min="8202" max="8202" width="15.109375" style="328" customWidth="1"/>
    <col min="8203" max="8203" width="19.6640625" style="328" customWidth="1"/>
    <col min="8204" max="8206" width="16" style="328" customWidth="1"/>
    <col min="8207" max="8207" width="14.77734375" style="328" customWidth="1"/>
    <col min="8208" max="8208" width="17.33203125" style="328" customWidth="1"/>
    <col min="8209" max="8209" width="14.77734375" style="328" customWidth="1"/>
    <col min="8210" max="8218" width="9" style="328" customWidth="1"/>
    <col min="8219" max="8219" width="7.109375" style="328" bestFit="1" customWidth="1"/>
    <col min="8220" max="8221" width="9" style="328" customWidth="1"/>
    <col min="8222" max="8226" width="10.33203125" style="328" customWidth="1"/>
    <col min="8227" max="8448" width="9" style="328" customWidth="1"/>
    <col min="8449" max="8449" width="60.33203125" style="328" customWidth="1"/>
    <col min="8450" max="8450" width="2.77734375" style="328" customWidth="1"/>
    <col min="8451" max="8451" width="14.77734375" style="328" customWidth="1"/>
    <col min="8452" max="8452" width="13.77734375" style="328" bestFit="1" customWidth="1"/>
    <col min="8453" max="8453" width="15.33203125" style="328" customWidth="1"/>
    <col min="8454" max="8454" width="14.109375" style="328" customWidth="1"/>
    <col min="8455" max="8455" width="15.109375" style="328" customWidth="1"/>
    <col min="8456" max="8456" width="13.33203125" style="328" customWidth="1"/>
    <col min="8457" max="8457" width="17.33203125" style="328" customWidth="1"/>
    <col min="8458" max="8458" width="15.109375" style="328" customWidth="1"/>
    <col min="8459" max="8459" width="19.6640625" style="328" customWidth="1"/>
    <col min="8460" max="8462" width="16" style="328" customWidth="1"/>
    <col min="8463" max="8463" width="14.77734375" style="328" customWidth="1"/>
    <col min="8464" max="8464" width="17.33203125" style="328" customWidth="1"/>
    <col min="8465" max="8465" width="14.77734375" style="328" customWidth="1"/>
    <col min="8466" max="8474" width="9" style="328" customWidth="1"/>
    <col min="8475" max="8475" width="7.109375" style="328" bestFit="1" customWidth="1"/>
    <col min="8476" max="8477" width="9" style="328" customWidth="1"/>
    <col min="8478" max="8482" width="10.33203125" style="328" customWidth="1"/>
    <col min="8483" max="8704" width="9" style="328" customWidth="1"/>
    <col min="8705" max="8705" width="60.33203125" style="328" customWidth="1"/>
    <col min="8706" max="8706" width="2.77734375" style="328" customWidth="1"/>
    <col min="8707" max="8707" width="14.77734375" style="328" customWidth="1"/>
    <col min="8708" max="8708" width="13.77734375" style="328" bestFit="1" customWidth="1"/>
    <col min="8709" max="8709" width="15.33203125" style="328" customWidth="1"/>
    <col min="8710" max="8710" width="14.109375" style="328" customWidth="1"/>
    <col min="8711" max="8711" width="15.109375" style="328" customWidth="1"/>
    <col min="8712" max="8712" width="13.33203125" style="328" customWidth="1"/>
    <col min="8713" max="8713" width="17.33203125" style="328" customWidth="1"/>
    <col min="8714" max="8714" width="15.109375" style="328" customWidth="1"/>
    <col min="8715" max="8715" width="19.6640625" style="328" customWidth="1"/>
    <col min="8716" max="8718" width="16" style="328" customWidth="1"/>
    <col min="8719" max="8719" width="14.77734375" style="328" customWidth="1"/>
    <col min="8720" max="8720" width="17.33203125" style="328" customWidth="1"/>
    <col min="8721" max="8721" width="14.77734375" style="328" customWidth="1"/>
    <col min="8722" max="8730" width="9" style="328" customWidth="1"/>
    <col min="8731" max="8731" width="7.109375" style="328" bestFit="1" customWidth="1"/>
    <col min="8732" max="8733" width="9" style="328" customWidth="1"/>
    <col min="8734" max="8738" width="10.33203125" style="328" customWidth="1"/>
    <col min="8739" max="8960" width="9" style="328" customWidth="1"/>
    <col min="8961" max="8961" width="60.33203125" style="328" customWidth="1"/>
    <col min="8962" max="8962" width="2.77734375" style="328" customWidth="1"/>
    <col min="8963" max="8963" width="14.77734375" style="328" customWidth="1"/>
    <col min="8964" max="8964" width="13.77734375" style="328" bestFit="1" customWidth="1"/>
    <col min="8965" max="8965" width="15.33203125" style="328" customWidth="1"/>
    <col min="8966" max="8966" width="14.109375" style="328" customWidth="1"/>
    <col min="8967" max="8967" width="15.109375" style="328" customWidth="1"/>
    <col min="8968" max="8968" width="13.33203125" style="328" customWidth="1"/>
    <col min="8969" max="8969" width="17.33203125" style="328" customWidth="1"/>
    <col min="8970" max="8970" width="15.109375" style="328" customWidth="1"/>
    <col min="8971" max="8971" width="19.6640625" style="328" customWidth="1"/>
    <col min="8972" max="8974" width="16" style="328" customWidth="1"/>
    <col min="8975" max="8975" width="14.77734375" style="328" customWidth="1"/>
    <col min="8976" max="8976" width="17.33203125" style="328" customWidth="1"/>
    <col min="8977" max="8977" width="14.77734375" style="328" customWidth="1"/>
    <col min="8978" max="8986" width="9" style="328" customWidth="1"/>
    <col min="8987" max="8987" width="7.109375" style="328" bestFit="1" customWidth="1"/>
    <col min="8988" max="8989" width="9" style="328" customWidth="1"/>
    <col min="8990" max="8994" width="10.33203125" style="328" customWidth="1"/>
    <col min="8995" max="9216" width="9" style="328" customWidth="1"/>
    <col min="9217" max="9217" width="60.33203125" style="328" customWidth="1"/>
    <col min="9218" max="9218" width="2.77734375" style="328" customWidth="1"/>
    <col min="9219" max="9219" width="14.77734375" style="328" customWidth="1"/>
    <col min="9220" max="9220" width="13.77734375" style="328" bestFit="1" customWidth="1"/>
    <col min="9221" max="9221" width="15.33203125" style="328" customWidth="1"/>
    <col min="9222" max="9222" width="14.109375" style="328" customWidth="1"/>
    <col min="9223" max="9223" width="15.109375" style="328" customWidth="1"/>
    <col min="9224" max="9224" width="13.33203125" style="328" customWidth="1"/>
    <col min="9225" max="9225" width="17.33203125" style="328" customWidth="1"/>
    <col min="9226" max="9226" width="15.109375" style="328" customWidth="1"/>
    <col min="9227" max="9227" width="19.6640625" style="328" customWidth="1"/>
    <col min="9228" max="9230" width="16" style="328" customWidth="1"/>
    <col min="9231" max="9231" width="14.77734375" style="328" customWidth="1"/>
    <col min="9232" max="9232" width="17.33203125" style="328" customWidth="1"/>
    <col min="9233" max="9233" width="14.77734375" style="328" customWidth="1"/>
    <col min="9234" max="9242" width="9" style="328" customWidth="1"/>
    <col min="9243" max="9243" width="7.109375" style="328" bestFit="1" customWidth="1"/>
    <col min="9244" max="9245" width="9" style="328" customWidth="1"/>
    <col min="9246" max="9250" width="10.33203125" style="328" customWidth="1"/>
    <col min="9251" max="9472" width="9" style="328" customWidth="1"/>
    <col min="9473" max="9473" width="60.33203125" style="328" customWidth="1"/>
    <col min="9474" max="9474" width="2.77734375" style="328" customWidth="1"/>
    <col min="9475" max="9475" width="14.77734375" style="328" customWidth="1"/>
    <col min="9476" max="9476" width="13.77734375" style="328" bestFit="1" customWidth="1"/>
    <col min="9477" max="9477" width="15.33203125" style="328" customWidth="1"/>
    <col min="9478" max="9478" width="14.109375" style="328" customWidth="1"/>
    <col min="9479" max="9479" width="15.109375" style="328" customWidth="1"/>
    <col min="9480" max="9480" width="13.33203125" style="328" customWidth="1"/>
    <col min="9481" max="9481" width="17.33203125" style="328" customWidth="1"/>
    <col min="9482" max="9482" width="15.109375" style="328" customWidth="1"/>
    <col min="9483" max="9483" width="19.6640625" style="328" customWidth="1"/>
    <col min="9484" max="9486" width="16" style="328" customWidth="1"/>
    <col min="9487" max="9487" width="14.77734375" style="328" customWidth="1"/>
    <col min="9488" max="9488" width="17.33203125" style="328" customWidth="1"/>
    <col min="9489" max="9489" width="14.77734375" style="328" customWidth="1"/>
    <col min="9490" max="9498" width="9" style="328" customWidth="1"/>
    <col min="9499" max="9499" width="7.109375" style="328" bestFit="1" customWidth="1"/>
    <col min="9500" max="9501" width="9" style="328" customWidth="1"/>
    <col min="9502" max="9506" width="10.33203125" style="328" customWidth="1"/>
    <col min="9507" max="9728" width="9" style="328" customWidth="1"/>
    <col min="9729" max="9729" width="60.33203125" style="328" customWidth="1"/>
    <col min="9730" max="9730" width="2.77734375" style="328" customWidth="1"/>
    <col min="9731" max="9731" width="14.77734375" style="328" customWidth="1"/>
    <col min="9732" max="9732" width="13.77734375" style="328" bestFit="1" customWidth="1"/>
    <col min="9733" max="9733" width="15.33203125" style="328" customWidth="1"/>
    <col min="9734" max="9734" width="14.109375" style="328" customWidth="1"/>
    <col min="9735" max="9735" width="15.109375" style="328" customWidth="1"/>
    <col min="9736" max="9736" width="13.33203125" style="328" customWidth="1"/>
    <col min="9737" max="9737" width="17.33203125" style="328" customWidth="1"/>
    <col min="9738" max="9738" width="15.109375" style="328" customWidth="1"/>
    <col min="9739" max="9739" width="19.6640625" style="328" customWidth="1"/>
    <col min="9740" max="9742" width="16" style="328" customWidth="1"/>
    <col min="9743" max="9743" width="14.77734375" style="328" customWidth="1"/>
    <col min="9744" max="9744" width="17.33203125" style="328" customWidth="1"/>
    <col min="9745" max="9745" width="14.77734375" style="328" customWidth="1"/>
    <col min="9746" max="9754" width="9" style="328" customWidth="1"/>
    <col min="9755" max="9755" width="7.109375" style="328" bestFit="1" customWidth="1"/>
    <col min="9756" max="9757" width="9" style="328" customWidth="1"/>
    <col min="9758" max="9762" width="10.33203125" style="328" customWidth="1"/>
    <col min="9763" max="9984" width="9" style="328" customWidth="1"/>
    <col min="9985" max="9985" width="60.33203125" style="328" customWidth="1"/>
    <col min="9986" max="9986" width="2.77734375" style="328" customWidth="1"/>
    <col min="9987" max="9987" width="14.77734375" style="328" customWidth="1"/>
    <col min="9988" max="9988" width="13.77734375" style="328" bestFit="1" customWidth="1"/>
    <col min="9989" max="9989" width="15.33203125" style="328" customWidth="1"/>
    <col min="9990" max="9990" width="14.109375" style="328" customWidth="1"/>
    <col min="9991" max="9991" width="15.109375" style="328" customWidth="1"/>
    <col min="9992" max="9992" width="13.33203125" style="328" customWidth="1"/>
    <col min="9993" max="9993" width="17.33203125" style="328" customWidth="1"/>
    <col min="9994" max="9994" width="15.109375" style="328" customWidth="1"/>
    <col min="9995" max="9995" width="19.6640625" style="328" customWidth="1"/>
    <col min="9996" max="9998" width="16" style="328" customWidth="1"/>
    <col min="9999" max="9999" width="14.77734375" style="328" customWidth="1"/>
    <col min="10000" max="10000" width="17.33203125" style="328" customWidth="1"/>
    <col min="10001" max="10001" width="14.77734375" style="328" customWidth="1"/>
    <col min="10002" max="10010" width="9" style="328" customWidth="1"/>
    <col min="10011" max="10011" width="7.109375" style="328" bestFit="1" customWidth="1"/>
    <col min="10012" max="10013" width="9" style="328" customWidth="1"/>
    <col min="10014" max="10018" width="10.33203125" style="328" customWidth="1"/>
    <col min="10019" max="10240" width="9" style="328" customWidth="1"/>
    <col min="10241" max="10241" width="60.33203125" style="328" customWidth="1"/>
    <col min="10242" max="10242" width="2.77734375" style="328" customWidth="1"/>
    <col min="10243" max="10243" width="14.77734375" style="328" customWidth="1"/>
    <col min="10244" max="10244" width="13.77734375" style="328" bestFit="1" customWidth="1"/>
    <col min="10245" max="10245" width="15.33203125" style="328" customWidth="1"/>
    <col min="10246" max="10246" width="14.109375" style="328" customWidth="1"/>
    <col min="10247" max="10247" width="15.109375" style="328" customWidth="1"/>
    <col min="10248" max="10248" width="13.33203125" style="328" customWidth="1"/>
    <col min="10249" max="10249" width="17.33203125" style="328" customWidth="1"/>
    <col min="10250" max="10250" width="15.109375" style="328" customWidth="1"/>
    <col min="10251" max="10251" width="19.6640625" style="328" customWidth="1"/>
    <col min="10252" max="10254" width="16" style="328" customWidth="1"/>
    <col min="10255" max="10255" width="14.77734375" style="328" customWidth="1"/>
    <col min="10256" max="10256" width="17.33203125" style="328" customWidth="1"/>
    <col min="10257" max="10257" width="14.77734375" style="328" customWidth="1"/>
    <col min="10258" max="10266" width="9" style="328" customWidth="1"/>
    <col min="10267" max="10267" width="7.109375" style="328" bestFit="1" customWidth="1"/>
    <col min="10268" max="10269" width="9" style="328" customWidth="1"/>
    <col min="10270" max="10274" width="10.33203125" style="328" customWidth="1"/>
    <col min="10275" max="10496" width="9" style="328" customWidth="1"/>
    <col min="10497" max="10497" width="60.33203125" style="328" customWidth="1"/>
    <col min="10498" max="10498" width="2.77734375" style="328" customWidth="1"/>
    <col min="10499" max="10499" width="14.77734375" style="328" customWidth="1"/>
    <col min="10500" max="10500" width="13.77734375" style="328" bestFit="1" customWidth="1"/>
    <col min="10501" max="10501" width="15.33203125" style="328" customWidth="1"/>
    <col min="10502" max="10502" width="14.109375" style="328" customWidth="1"/>
    <col min="10503" max="10503" width="15.109375" style="328" customWidth="1"/>
    <col min="10504" max="10504" width="13.33203125" style="328" customWidth="1"/>
    <col min="10505" max="10505" width="17.33203125" style="328" customWidth="1"/>
    <col min="10506" max="10506" width="15.109375" style="328" customWidth="1"/>
    <col min="10507" max="10507" width="19.6640625" style="328" customWidth="1"/>
    <col min="10508" max="10510" width="16" style="328" customWidth="1"/>
    <col min="10511" max="10511" width="14.77734375" style="328" customWidth="1"/>
    <col min="10512" max="10512" width="17.33203125" style="328" customWidth="1"/>
    <col min="10513" max="10513" width="14.77734375" style="328" customWidth="1"/>
    <col min="10514" max="10522" width="9" style="328" customWidth="1"/>
    <col min="10523" max="10523" width="7.109375" style="328" bestFit="1" customWidth="1"/>
    <col min="10524" max="10525" width="9" style="328" customWidth="1"/>
    <col min="10526" max="10530" width="10.33203125" style="328" customWidth="1"/>
    <col min="10531" max="10752" width="9" style="328" customWidth="1"/>
    <col min="10753" max="10753" width="60.33203125" style="328" customWidth="1"/>
    <col min="10754" max="10754" width="2.77734375" style="328" customWidth="1"/>
    <col min="10755" max="10755" width="14.77734375" style="328" customWidth="1"/>
    <col min="10756" max="10756" width="13.77734375" style="328" bestFit="1" customWidth="1"/>
    <col min="10757" max="10757" width="15.33203125" style="328" customWidth="1"/>
    <col min="10758" max="10758" width="14.109375" style="328" customWidth="1"/>
    <col min="10759" max="10759" width="15.109375" style="328" customWidth="1"/>
    <col min="10760" max="10760" width="13.33203125" style="328" customWidth="1"/>
    <col min="10761" max="10761" width="17.33203125" style="328" customWidth="1"/>
    <col min="10762" max="10762" width="15.109375" style="328" customWidth="1"/>
    <col min="10763" max="10763" width="19.6640625" style="328" customWidth="1"/>
    <col min="10764" max="10766" width="16" style="328" customWidth="1"/>
    <col min="10767" max="10767" width="14.77734375" style="328" customWidth="1"/>
    <col min="10768" max="10768" width="17.33203125" style="328" customWidth="1"/>
    <col min="10769" max="10769" width="14.77734375" style="328" customWidth="1"/>
    <col min="10770" max="10778" width="9" style="328" customWidth="1"/>
    <col min="10779" max="10779" width="7.109375" style="328" bestFit="1" customWidth="1"/>
    <col min="10780" max="10781" width="9" style="328" customWidth="1"/>
    <col min="10782" max="10786" width="10.33203125" style="328" customWidth="1"/>
    <col min="10787" max="11008" width="9" style="328" customWidth="1"/>
    <col min="11009" max="11009" width="60.33203125" style="328" customWidth="1"/>
    <col min="11010" max="11010" width="2.77734375" style="328" customWidth="1"/>
    <col min="11011" max="11011" width="14.77734375" style="328" customWidth="1"/>
    <col min="11012" max="11012" width="13.77734375" style="328" bestFit="1" customWidth="1"/>
    <col min="11013" max="11013" width="15.33203125" style="328" customWidth="1"/>
    <col min="11014" max="11014" width="14.109375" style="328" customWidth="1"/>
    <col min="11015" max="11015" width="15.109375" style="328" customWidth="1"/>
    <col min="11016" max="11016" width="13.33203125" style="328" customWidth="1"/>
    <col min="11017" max="11017" width="17.33203125" style="328" customWidth="1"/>
    <col min="11018" max="11018" width="15.109375" style="328" customWidth="1"/>
    <col min="11019" max="11019" width="19.6640625" style="328" customWidth="1"/>
    <col min="11020" max="11022" width="16" style="328" customWidth="1"/>
    <col min="11023" max="11023" width="14.77734375" style="328" customWidth="1"/>
    <col min="11024" max="11024" width="17.33203125" style="328" customWidth="1"/>
    <col min="11025" max="11025" width="14.77734375" style="328" customWidth="1"/>
    <col min="11026" max="11034" width="9" style="328" customWidth="1"/>
    <col min="11035" max="11035" width="7.109375" style="328" bestFit="1" customWidth="1"/>
    <col min="11036" max="11037" width="9" style="328" customWidth="1"/>
    <col min="11038" max="11042" width="10.33203125" style="328" customWidth="1"/>
    <col min="11043" max="11264" width="9" style="328" customWidth="1"/>
    <col min="11265" max="11265" width="60.33203125" style="328" customWidth="1"/>
    <col min="11266" max="11266" width="2.77734375" style="328" customWidth="1"/>
    <col min="11267" max="11267" width="14.77734375" style="328" customWidth="1"/>
    <col min="11268" max="11268" width="13.77734375" style="328" bestFit="1" customWidth="1"/>
    <col min="11269" max="11269" width="15.33203125" style="328" customWidth="1"/>
    <col min="11270" max="11270" width="14.109375" style="328" customWidth="1"/>
    <col min="11271" max="11271" width="15.109375" style="328" customWidth="1"/>
    <col min="11272" max="11272" width="13.33203125" style="328" customWidth="1"/>
    <col min="11273" max="11273" width="17.33203125" style="328" customWidth="1"/>
    <col min="11274" max="11274" width="15.109375" style="328" customWidth="1"/>
    <col min="11275" max="11275" width="19.6640625" style="328" customWidth="1"/>
    <col min="11276" max="11278" width="16" style="328" customWidth="1"/>
    <col min="11279" max="11279" width="14.77734375" style="328" customWidth="1"/>
    <col min="11280" max="11280" width="17.33203125" style="328" customWidth="1"/>
    <col min="11281" max="11281" width="14.77734375" style="328" customWidth="1"/>
    <col min="11282" max="11290" width="9" style="328" customWidth="1"/>
    <col min="11291" max="11291" width="7.109375" style="328" bestFit="1" customWidth="1"/>
    <col min="11292" max="11293" width="9" style="328" customWidth="1"/>
    <col min="11294" max="11298" width="10.33203125" style="328" customWidth="1"/>
    <col min="11299" max="11520" width="9" style="328" customWidth="1"/>
    <col min="11521" max="11521" width="60.33203125" style="328" customWidth="1"/>
    <col min="11522" max="11522" width="2.77734375" style="328" customWidth="1"/>
    <col min="11523" max="11523" width="14.77734375" style="328" customWidth="1"/>
    <col min="11524" max="11524" width="13.77734375" style="328" bestFit="1" customWidth="1"/>
    <col min="11525" max="11525" width="15.33203125" style="328" customWidth="1"/>
    <col min="11526" max="11526" width="14.109375" style="328" customWidth="1"/>
    <col min="11527" max="11527" width="15.109375" style="328" customWidth="1"/>
    <col min="11528" max="11528" width="13.33203125" style="328" customWidth="1"/>
    <col min="11529" max="11529" width="17.33203125" style="328" customWidth="1"/>
    <col min="11530" max="11530" width="15.109375" style="328" customWidth="1"/>
    <col min="11531" max="11531" width="19.6640625" style="328" customWidth="1"/>
    <col min="11532" max="11534" width="16" style="328" customWidth="1"/>
    <col min="11535" max="11535" width="14.77734375" style="328" customWidth="1"/>
    <col min="11536" max="11536" width="17.33203125" style="328" customWidth="1"/>
    <col min="11537" max="11537" width="14.77734375" style="328" customWidth="1"/>
    <col min="11538" max="11546" width="9" style="328" customWidth="1"/>
    <col min="11547" max="11547" width="7.109375" style="328" bestFit="1" customWidth="1"/>
    <col min="11548" max="11549" width="9" style="328" customWidth="1"/>
    <col min="11550" max="11554" width="10.33203125" style="328" customWidth="1"/>
    <col min="11555" max="11776" width="9" style="328" customWidth="1"/>
    <col min="11777" max="11777" width="60.33203125" style="328" customWidth="1"/>
    <col min="11778" max="11778" width="2.77734375" style="328" customWidth="1"/>
    <col min="11779" max="11779" width="14.77734375" style="328" customWidth="1"/>
    <col min="11780" max="11780" width="13.77734375" style="328" bestFit="1" customWidth="1"/>
    <col min="11781" max="11781" width="15.33203125" style="328" customWidth="1"/>
    <col min="11782" max="11782" width="14.109375" style="328" customWidth="1"/>
    <col min="11783" max="11783" width="15.109375" style="328" customWidth="1"/>
    <col min="11784" max="11784" width="13.33203125" style="328" customWidth="1"/>
    <col min="11785" max="11785" width="17.33203125" style="328" customWidth="1"/>
    <col min="11786" max="11786" width="15.109375" style="328" customWidth="1"/>
    <col min="11787" max="11787" width="19.6640625" style="328" customWidth="1"/>
    <col min="11788" max="11790" width="16" style="328" customWidth="1"/>
    <col min="11791" max="11791" width="14.77734375" style="328" customWidth="1"/>
    <col min="11792" max="11792" width="17.33203125" style="328" customWidth="1"/>
    <col min="11793" max="11793" width="14.77734375" style="328" customWidth="1"/>
    <col min="11794" max="11802" width="9" style="328" customWidth="1"/>
    <col min="11803" max="11803" width="7.109375" style="328" bestFit="1" customWidth="1"/>
    <col min="11804" max="11805" width="9" style="328" customWidth="1"/>
    <col min="11806" max="11810" width="10.33203125" style="328" customWidth="1"/>
    <col min="11811" max="12032" width="9" style="328" customWidth="1"/>
    <col min="12033" max="12033" width="60.33203125" style="328" customWidth="1"/>
    <col min="12034" max="12034" width="2.77734375" style="328" customWidth="1"/>
    <col min="12035" max="12035" width="14.77734375" style="328" customWidth="1"/>
    <col min="12036" max="12036" width="13.77734375" style="328" bestFit="1" customWidth="1"/>
    <col min="12037" max="12037" width="15.33203125" style="328" customWidth="1"/>
    <col min="12038" max="12038" width="14.109375" style="328" customWidth="1"/>
    <col min="12039" max="12039" width="15.109375" style="328" customWidth="1"/>
    <col min="12040" max="12040" width="13.33203125" style="328" customWidth="1"/>
    <col min="12041" max="12041" width="17.33203125" style="328" customWidth="1"/>
    <col min="12042" max="12042" width="15.109375" style="328" customWidth="1"/>
    <col min="12043" max="12043" width="19.6640625" style="328" customWidth="1"/>
    <col min="12044" max="12046" width="16" style="328" customWidth="1"/>
    <col min="12047" max="12047" width="14.77734375" style="328" customWidth="1"/>
    <col min="12048" max="12048" width="17.33203125" style="328" customWidth="1"/>
    <col min="12049" max="12049" width="14.77734375" style="328" customWidth="1"/>
    <col min="12050" max="12058" width="9" style="328" customWidth="1"/>
    <col min="12059" max="12059" width="7.109375" style="328" bestFit="1" customWidth="1"/>
    <col min="12060" max="12061" width="9" style="328" customWidth="1"/>
    <col min="12062" max="12066" width="10.33203125" style="328" customWidth="1"/>
    <col min="12067" max="12288" width="9" style="328" customWidth="1"/>
    <col min="12289" max="12289" width="60.33203125" style="328" customWidth="1"/>
    <col min="12290" max="12290" width="2.77734375" style="328" customWidth="1"/>
    <col min="12291" max="12291" width="14.77734375" style="328" customWidth="1"/>
    <col min="12292" max="12292" width="13.77734375" style="328" bestFit="1" customWidth="1"/>
    <col min="12293" max="12293" width="15.33203125" style="328" customWidth="1"/>
    <col min="12294" max="12294" width="14.109375" style="328" customWidth="1"/>
    <col min="12295" max="12295" width="15.109375" style="328" customWidth="1"/>
    <col min="12296" max="12296" width="13.33203125" style="328" customWidth="1"/>
    <col min="12297" max="12297" width="17.33203125" style="328" customWidth="1"/>
    <col min="12298" max="12298" width="15.109375" style="328" customWidth="1"/>
    <col min="12299" max="12299" width="19.6640625" style="328" customWidth="1"/>
    <col min="12300" max="12302" width="16" style="328" customWidth="1"/>
    <col min="12303" max="12303" width="14.77734375" style="328" customWidth="1"/>
    <col min="12304" max="12304" width="17.33203125" style="328" customWidth="1"/>
    <col min="12305" max="12305" width="14.77734375" style="328" customWidth="1"/>
    <col min="12306" max="12314" width="9" style="328" customWidth="1"/>
    <col min="12315" max="12315" width="7.109375" style="328" bestFit="1" customWidth="1"/>
    <col min="12316" max="12317" width="9" style="328" customWidth="1"/>
    <col min="12318" max="12322" width="10.33203125" style="328" customWidth="1"/>
    <col min="12323" max="12544" width="9" style="328" customWidth="1"/>
    <col min="12545" max="12545" width="60.33203125" style="328" customWidth="1"/>
    <col min="12546" max="12546" width="2.77734375" style="328" customWidth="1"/>
    <col min="12547" max="12547" width="14.77734375" style="328" customWidth="1"/>
    <col min="12548" max="12548" width="13.77734375" style="328" bestFit="1" customWidth="1"/>
    <col min="12549" max="12549" width="15.33203125" style="328" customWidth="1"/>
    <col min="12550" max="12550" width="14.109375" style="328" customWidth="1"/>
    <col min="12551" max="12551" width="15.109375" style="328" customWidth="1"/>
    <col min="12552" max="12552" width="13.33203125" style="328" customWidth="1"/>
    <col min="12553" max="12553" width="17.33203125" style="328" customWidth="1"/>
    <col min="12554" max="12554" width="15.109375" style="328" customWidth="1"/>
    <col min="12555" max="12555" width="19.6640625" style="328" customWidth="1"/>
    <col min="12556" max="12558" width="16" style="328" customWidth="1"/>
    <col min="12559" max="12559" width="14.77734375" style="328" customWidth="1"/>
    <col min="12560" max="12560" width="17.33203125" style="328" customWidth="1"/>
    <col min="12561" max="12561" width="14.77734375" style="328" customWidth="1"/>
    <col min="12562" max="12570" width="9" style="328" customWidth="1"/>
    <col min="12571" max="12571" width="7.109375" style="328" bestFit="1" customWidth="1"/>
    <col min="12572" max="12573" width="9" style="328" customWidth="1"/>
    <col min="12574" max="12578" width="10.33203125" style="328" customWidth="1"/>
    <col min="12579" max="12800" width="9" style="328" customWidth="1"/>
    <col min="12801" max="12801" width="60.33203125" style="328" customWidth="1"/>
    <col min="12802" max="12802" width="2.77734375" style="328" customWidth="1"/>
    <col min="12803" max="12803" width="14.77734375" style="328" customWidth="1"/>
    <col min="12804" max="12804" width="13.77734375" style="328" bestFit="1" customWidth="1"/>
    <col min="12805" max="12805" width="15.33203125" style="328" customWidth="1"/>
    <col min="12806" max="12806" width="14.109375" style="328" customWidth="1"/>
    <col min="12807" max="12807" width="15.109375" style="328" customWidth="1"/>
    <col min="12808" max="12808" width="13.33203125" style="328" customWidth="1"/>
    <col min="12809" max="12809" width="17.33203125" style="328" customWidth="1"/>
    <col min="12810" max="12810" width="15.109375" style="328" customWidth="1"/>
    <col min="12811" max="12811" width="19.6640625" style="328" customWidth="1"/>
    <col min="12812" max="12814" width="16" style="328" customWidth="1"/>
    <col min="12815" max="12815" width="14.77734375" style="328" customWidth="1"/>
    <col min="12816" max="12816" width="17.33203125" style="328" customWidth="1"/>
    <col min="12817" max="12817" width="14.77734375" style="328" customWidth="1"/>
    <col min="12818" max="12826" width="9" style="328" customWidth="1"/>
    <col min="12827" max="12827" width="7.109375" style="328" bestFit="1" customWidth="1"/>
    <col min="12828" max="12829" width="9" style="328" customWidth="1"/>
    <col min="12830" max="12834" width="10.33203125" style="328" customWidth="1"/>
    <col min="12835" max="13056" width="9" style="328" customWidth="1"/>
    <col min="13057" max="13057" width="60.33203125" style="328" customWidth="1"/>
    <col min="13058" max="13058" width="2.77734375" style="328" customWidth="1"/>
    <col min="13059" max="13059" width="14.77734375" style="328" customWidth="1"/>
    <col min="13060" max="13060" width="13.77734375" style="328" bestFit="1" customWidth="1"/>
    <col min="13061" max="13061" width="15.33203125" style="328" customWidth="1"/>
    <col min="13062" max="13062" width="14.109375" style="328" customWidth="1"/>
    <col min="13063" max="13063" width="15.109375" style="328" customWidth="1"/>
    <col min="13064" max="13064" width="13.33203125" style="328" customWidth="1"/>
    <col min="13065" max="13065" width="17.33203125" style="328" customWidth="1"/>
    <col min="13066" max="13066" width="15.109375" style="328" customWidth="1"/>
    <col min="13067" max="13067" width="19.6640625" style="328" customWidth="1"/>
    <col min="13068" max="13070" width="16" style="328" customWidth="1"/>
    <col min="13071" max="13071" width="14.77734375" style="328" customWidth="1"/>
    <col min="13072" max="13072" width="17.33203125" style="328" customWidth="1"/>
    <col min="13073" max="13073" width="14.77734375" style="328" customWidth="1"/>
    <col min="13074" max="13082" width="9" style="328" customWidth="1"/>
    <col min="13083" max="13083" width="7.109375" style="328" bestFit="1" customWidth="1"/>
    <col min="13084" max="13085" width="9" style="328" customWidth="1"/>
    <col min="13086" max="13090" width="10.33203125" style="328" customWidth="1"/>
    <col min="13091" max="13312" width="9" style="328" customWidth="1"/>
    <col min="13313" max="13313" width="60.33203125" style="328" customWidth="1"/>
    <col min="13314" max="13314" width="2.77734375" style="328" customWidth="1"/>
    <col min="13315" max="13315" width="14.77734375" style="328" customWidth="1"/>
    <col min="13316" max="13316" width="13.77734375" style="328" bestFit="1" customWidth="1"/>
    <col min="13317" max="13317" width="15.33203125" style="328" customWidth="1"/>
    <col min="13318" max="13318" width="14.109375" style="328" customWidth="1"/>
    <col min="13319" max="13319" width="15.109375" style="328" customWidth="1"/>
    <col min="13320" max="13320" width="13.33203125" style="328" customWidth="1"/>
    <col min="13321" max="13321" width="17.33203125" style="328" customWidth="1"/>
    <col min="13322" max="13322" width="15.109375" style="328" customWidth="1"/>
    <col min="13323" max="13323" width="19.6640625" style="328" customWidth="1"/>
    <col min="13324" max="13326" width="16" style="328" customWidth="1"/>
    <col min="13327" max="13327" width="14.77734375" style="328" customWidth="1"/>
    <col min="13328" max="13328" width="17.33203125" style="328" customWidth="1"/>
    <col min="13329" max="13329" width="14.77734375" style="328" customWidth="1"/>
    <col min="13330" max="13338" width="9" style="328" customWidth="1"/>
    <col min="13339" max="13339" width="7.109375" style="328" bestFit="1" customWidth="1"/>
    <col min="13340" max="13341" width="9" style="328" customWidth="1"/>
    <col min="13342" max="13346" width="10.33203125" style="328" customWidth="1"/>
    <col min="13347" max="13568" width="9" style="328" customWidth="1"/>
    <col min="13569" max="13569" width="60.33203125" style="328" customWidth="1"/>
    <col min="13570" max="13570" width="2.77734375" style="328" customWidth="1"/>
    <col min="13571" max="13571" width="14.77734375" style="328" customWidth="1"/>
    <col min="13572" max="13572" width="13.77734375" style="328" bestFit="1" customWidth="1"/>
    <col min="13573" max="13573" width="15.33203125" style="328" customWidth="1"/>
    <col min="13574" max="13574" width="14.109375" style="328" customWidth="1"/>
    <col min="13575" max="13575" width="15.109375" style="328" customWidth="1"/>
    <col min="13576" max="13576" width="13.33203125" style="328" customWidth="1"/>
    <col min="13577" max="13577" width="17.33203125" style="328" customWidth="1"/>
    <col min="13578" max="13578" width="15.109375" style="328" customWidth="1"/>
    <col min="13579" max="13579" width="19.6640625" style="328" customWidth="1"/>
    <col min="13580" max="13582" width="16" style="328" customWidth="1"/>
    <col min="13583" max="13583" width="14.77734375" style="328" customWidth="1"/>
    <col min="13584" max="13584" width="17.33203125" style="328" customWidth="1"/>
    <col min="13585" max="13585" width="14.77734375" style="328" customWidth="1"/>
    <col min="13586" max="13594" width="9" style="328" customWidth="1"/>
    <col min="13595" max="13595" width="7.109375" style="328" bestFit="1" customWidth="1"/>
    <col min="13596" max="13597" width="9" style="328" customWidth="1"/>
    <col min="13598" max="13602" width="10.33203125" style="328" customWidth="1"/>
    <col min="13603" max="13824" width="9" style="328" customWidth="1"/>
    <col min="13825" max="13825" width="60.33203125" style="328" customWidth="1"/>
    <col min="13826" max="13826" width="2.77734375" style="328" customWidth="1"/>
    <col min="13827" max="13827" width="14.77734375" style="328" customWidth="1"/>
    <col min="13828" max="13828" width="13.77734375" style="328" bestFit="1" customWidth="1"/>
    <col min="13829" max="13829" width="15.33203125" style="328" customWidth="1"/>
    <col min="13830" max="13830" width="14.109375" style="328" customWidth="1"/>
    <col min="13831" max="13831" width="15.109375" style="328" customWidth="1"/>
    <col min="13832" max="13832" width="13.33203125" style="328" customWidth="1"/>
    <col min="13833" max="13833" width="17.33203125" style="328" customWidth="1"/>
    <col min="13834" max="13834" width="15.109375" style="328" customWidth="1"/>
    <col min="13835" max="13835" width="19.6640625" style="328" customWidth="1"/>
    <col min="13836" max="13838" width="16" style="328" customWidth="1"/>
    <col min="13839" max="13839" width="14.77734375" style="328" customWidth="1"/>
    <col min="13840" max="13840" width="17.33203125" style="328" customWidth="1"/>
    <col min="13841" max="13841" width="14.77734375" style="328" customWidth="1"/>
    <col min="13842" max="13850" width="9" style="328" customWidth="1"/>
    <col min="13851" max="13851" width="7.109375" style="328" bestFit="1" customWidth="1"/>
    <col min="13852" max="13853" width="9" style="328" customWidth="1"/>
    <col min="13854" max="13858" width="10.33203125" style="328" customWidth="1"/>
    <col min="13859" max="14080" width="9" style="328" customWidth="1"/>
    <col min="14081" max="14081" width="60.33203125" style="328" customWidth="1"/>
    <col min="14082" max="14082" width="2.77734375" style="328" customWidth="1"/>
    <col min="14083" max="14083" width="14.77734375" style="328" customWidth="1"/>
    <col min="14084" max="14084" width="13.77734375" style="328" bestFit="1" customWidth="1"/>
    <col min="14085" max="14085" width="15.33203125" style="328" customWidth="1"/>
    <col min="14086" max="14086" width="14.109375" style="328" customWidth="1"/>
    <col min="14087" max="14087" width="15.109375" style="328" customWidth="1"/>
    <col min="14088" max="14088" width="13.33203125" style="328" customWidth="1"/>
    <col min="14089" max="14089" width="17.33203125" style="328" customWidth="1"/>
    <col min="14090" max="14090" width="15.109375" style="328" customWidth="1"/>
    <col min="14091" max="14091" width="19.6640625" style="328" customWidth="1"/>
    <col min="14092" max="14094" width="16" style="328" customWidth="1"/>
    <col min="14095" max="14095" width="14.77734375" style="328" customWidth="1"/>
    <col min="14096" max="14096" width="17.33203125" style="328" customWidth="1"/>
    <col min="14097" max="14097" width="14.77734375" style="328" customWidth="1"/>
    <col min="14098" max="14106" width="9" style="328" customWidth="1"/>
    <col min="14107" max="14107" width="7.109375" style="328" bestFit="1" customWidth="1"/>
    <col min="14108" max="14109" width="9" style="328" customWidth="1"/>
    <col min="14110" max="14114" width="10.33203125" style="328" customWidth="1"/>
    <col min="14115" max="14336" width="9" style="328" customWidth="1"/>
    <col min="14337" max="14337" width="60.33203125" style="328" customWidth="1"/>
    <col min="14338" max="14338" width="2.77734375" style="328" customWidth="1"/>
    <col min="14339" max="14339" width="14.77734375" style="328" customWidth="1"/>
    <col min="14340" max="14340" width="13.77734375" style="328" bestFit="1" customWidth="1"/>
    <col min="14341" max="14341" width="15.33203125" style="328" customWidth="1"/>
    <col min="14342" max="14342" width="14.109375" style="328" customWidth="1"/>
    <col min="14343" max="14343" width="15.109375" style="328" customWidth="1"/>
    <col min="14344" max="14344" width="13.33203125" style="328" customWidth="1"/>
    <col min="14345" max="14345" width="17.33203125" style="328" customWidth="1"/>
    <col min="14346" max="14346" width="15.109375" style="328" customWidth="1"/>
    <col min="14347" max="14347" width="19.6640625" style="328" customWidth="1"/>
    <col min="14348" max="14350" width="16" style="328" customWidth="1"/>
    <col min="14351" max="14351" width="14.77734375" style="328" customWidth="1"/>
    <col min="14352" max="14352" width="17.33203125" style="328" customWidth="1"/>
    <col min="14353" max="14353" width="14.77734375" style="328" customWidth="1"/>
    <col min="14354" max="14362" width="9" style="328" customWidth="1"/>
    <col min="14363" max="14363" width="7.109375" style="328" bestFit="1" customWidth="1"/>
    <col min="14364" max="14365" width="9" style="328" customWidth="1"/>
    <col min="14366" max="14370" width="10.33203125" style="328" customWidth="1"/>
    <col min="14371" max="14592" width="9" style="328" customWidth="1"/>
    <col min="14593" max="14593" width="60.33203125" style="328" customWidth="1"/>
    <col min="14594" max="14594" width="2.77734375" style="328" customWidth="1"/>
    <col min="14595" max="14595" width="14.77734375" style="328" customWidth="1"/>
    <col min="14596" max="14596" width="13.77734375" style="328" bestFit="1" customWidth="1"/>
    <col min="14597" max="14597" width="15.33203125" style="328" customWidth="1"/>
    <col min="14598" max="14598" width="14.109375" style="328" customWidth="1"/>
    <col min="14599" max="14599" width="15.109375" style="328" customWidth="1"/>
    <col min="14600" max="14600" width="13.33203125" style="328" customWidth="1"/>
    <col min="14601" max="14601" width="17.33203125" style="328" customWidth="1"/>
    <col min="14602" max="14602" width="15.109375" style="328" customWidth="1"/>
    <col min="14603" max="14603" width="19.6640625" style="328" customWidth="1"/>
    <col min="14604" max="14606" width="16" style="328" customWidth="1"/>
    <col min="14607" max="14607" width="14.77734375" style="328" customWidth="1"/>
    <col min="14608" max="14608" width="17.33203125" style="328" customWidth="1"/>
    <col min="14609" max="14609" width="14.77734375" style="328" customWidth="1"/>
    <col min="14610" max="14618" width="9" style="328" customWidth="1"/>
    <col min="14619" max="14619" width="7.109375" style="328" bestFit="1" customWidth="1"/>
    <col min="14620" max="14621" width="9" style="328" customWidth="1"/>
    <col min="14622" max="14626" width="10.33203125" style="328" customWidth="1"/>
    <col min="14627" max="14848" width="9" style="328" customWidth="1"/>
    <col min="14849" max="14849" width="60.33203125" style="328" customWidth="1"/>
    <col min="14850" max="14850" width="2.77734375" style="328" customWidth="1"/>
    <col min="14851" max="14851" width="14.77734375" style="328" customWidth="1"/>
    <col min="14852" max="14852" width="13.77734375" style="328" bestFit="1" customWidth="1"/>
    <col min="14853" max="14853" width="15.33203125" style="328" customWidth="1"/>
    <col min="14854" max="14854" width="14.109375" style="328" customWidth="1"/>
    <col min="14855" max="14855" width="15.109375" style="328" customWidth="1"/>
    <col min="14856" max="14856" width="13.33203125" style="328" customWidth="1"/>
    <col min="14857" max="14857" width="17.33203125" style="328" customWidth="1"/>
    <col min="14858" max="14858" width="15.109375" style="328" customWidth="1"/>
    <col min="14859" max="14859" width="19.6640625" style="328" customWidth="1"/>
    <col min="14860" max="14862" width="16" style="328" customWidth="1"/>
    <col min="14863" max="14863" width="14.77734375" style="328" customWidth="1"/>
    <col min="14864" max="14864" width="17.33203125" style="328" customWidth="1"/>
    <col min="14865" max="14865" width="14.77734375" style="328" customWidth="1"/>
    <col min="14866" max="14874" width="9" style="328" customWidth="1"/>
    <col min="14875" max="14875" width="7.109375" style="328" bestFit="1" customWidth="1"/>
    <col min="14876" max="14877" width="9" style="328" customWidth="1"/>
    <col min="14878" max="14882" width="10.33203125" style="328" customWidth="1"/>
    <col min="14883" max="15104" width="9" style="328" customWidth="1"/>
    <col min="15105" max="15105" width="60.33203125" style="328" customWidth="1"/>
    <col min="15106" max="15106" width="2.77734375" style="328" customWidth="1"/>
    <col min="15107" max="15107" width="14.77734375" style="328" customWidth="1"/>
    <col min="15108" max="15108" width="13.77734375" style="328" bestFit="1" customWidth="1"/>
    <col min="15109" max="15109" width="15.33203125" style="328" customWidth="1"/>
    <col min="15110" max="15110" width="14.109375" style="328" customWidth="1"/>
    <col min="15111" max="15111" width="15.109375" style="328" customWidth="1"/>
    <col min="15112" max="15112" width="13.33203125" style="328" customWidth="1"/>
    <col min="15113" max="15113" width="17.33203125" style="328" customWidth="1"/>
    <col min="15114" max="15114" width="15.109375" style="328" customWidth="1"/>
    <col min="15115" max="15115" width="19.6640625" style="328" customWidth="1"/>
    <col min="15116" max="15118" width="16" style="328" customWidth="1"/>
    <col min="15119" max="15119" width="14.77734375" style="328" customWidth="1"/>
    <col min="15120" max="15120" width="17.33203125" style="328" customWidth="1"/>
    <col min="15121" max="15121" width="14.77734375" style="328" customWidth="1"/>
    <col min="15122" max="15130" width="9" style="328" customWidth="1"/>
    <col min="15131" max="15131" width="7.109375" style="328" bestFit="1" customWidth="1"/>
    <col min="15132" max="15133" width="9" style="328" customWidth="1"/>
    <col min="15134" max="15138" width="10.33203125" style="328" customWidth="1"/>
    <col min="15139" max="15360" width="9" style="328" customWidth="1"/>
    <col min="15361" max="15361" width="60.33203125" style="328" customWidth="1"/>
    <col min="15362" max="15362" width="2.77734375" style="328" customWidth="1"/>
    <col min="15363" max="15363" width="14.77734375" style="328" customWidth="1"/>
    <col min="15364" max="15364" width="13.77734375" style="328" bestFit="1" customWidth="1"/>
    <col min="15365" max="15365" width="15.33203125" style="328" customWidth="1"/>
    <col min="15366" max="15366" width="14.109375" style="328" customWidth="1"/>
    <col min="15367" max="15367" width="15.109375" style="328" customWidth="1"/>
    <col min="15368" max="15368" width="13.33203125" style="328" customWidth="1"/>
    <col min="15369" max="15369" width="17.33203125" style="328" customWidth="1"/>
    <col min="15370" max="15370" width="15.109375" style="328" customWidth="1"/>
    <col min="15371" max="15371" width="19.6640625" style="328" customWidth="1"/>
    <col min="15372" max="15374" width="16" style="328" customWidth="1"/>
    <col min="15375" max="15375" width="14.77734375" style="328" customWidth="1"/>
    <col min="15376" max="15376" width="17.33203125" style="328" customWidth="1"/>
    <col min="15377" max="15377" width="14.77734375" style="328" customWidth="1"/>
    <col min="15378" max="15386" width="9" style="328" customWidth="1"/>
    <col min="15387" max="15387" width="7.109375" style="328" bestFit="1" customWidth="1"/>
    <col min="15388" max="15389" width="9" style="328" customWidth="1"/>
    <col min="15390" max="15394" width="10.33203125" style="328" customWidth="1"/>
    <col min="15395" max="15616" width="9" style="328" customWidth="1"/>
    <col min="15617" max="15617" width="60.33203125" style="328" customWidth="1"/>
    <col min="15618" max="15618" width="2.77734375" style="328" customWidth="1"/>
    <col min="15619" max="15619" width="14.77734375" style="328" customWidth="1"/>
    <col min="15620" max="15620" width="13.77734375" style="328" bestFit="1" customWidth="1"/>
    <col min="15621" max="15621" width="15.33203125" style="328" customWidth="1"/>
    <col min="15622" max="15622" width="14.109375" style="328" customWidth="1"/>
    <col min="15623" max="15623" width="15.109375" style="328" customWidth="1"/>
    <col min="15624" max="15624" width="13.33203125" style="328" customWidth="1"/>
    <col min="15625" max="15625" width="17.33203125" style="328" customWidth="1"/>
    <col min="15626" max="15626" width="15.109375" style="328" customWidth="1"/>
    <col min="15627" max="15627" width="19.6640625" style="328" customWidth="1"/>
    <col min="15628" max="15630" width="16" style="328" customWidth="1"/>
    <col min="15631" max="15631" width="14.77734375" style="328" customWidth="1"/>
    <col min="15632" max="15632" width="17.33203125" style="328" customWidth="1"/>
    <col min="15633" max="15633" width="14.77734375" style="328" customWidth="1"/>
    <col min="15634" max="15642" width="9" style="328" customWidth="1"/>
    <col min="15643" max="15643" width="7.109375" style="328" bestFit="1" customWidth="1"/>
    <col min="15644" max="15645" width="9" style="328" customWidth="1"/>
    <col min="15646" max="15650" width="10.33203125" style="328" customWidth="1"/>
    <col min="15651" max="15872" width="9" style="328" customWidth="1"/>
    <col min="15873" max="15873" width="60.33203125" style="328" customWidth="1"/>
    <col min="15874" max="15874" width="2.77734375" style="328" customWidth="1"/>
    <col min="15875" max="15875" width="14.77734375" style="328" customWidth="1"/>
    <col min="15876" max="15876" width="13.77734375" style="328" bestFit="1" customWidth="1"/>
    <col min="15877" max="15877" width="15.33203125" style="328" customWidth="1"/>
    <col min="15878" max="15878" width="14.109375" style="328" customWidth="1"/>
    <col min="15879" max="15879" width="15.109375" style="328" customWidth="1"/>
    <col min="15880" max="15880" width="13.33203125" style="328" customWidth="1"/>
    <col min="15881" max="15881" width="17.33203125" style="328" customWidth="1"/>
    <col min="15882" max="15882" width="15.109375" style="328" customWidth="1"/>
    <col min="15883" max="15883" width="19.6640625" style="328" customWidth="1"/>
    <col min="15884" max="15886" width="16" style="328" customWidth="1"/>
    <col min="15887" max="15887" width="14.77734375" style="328" customWidth="1"/>
    <col min="15888" max="15888" width="17.33203125" style="328" customWidth="1"/>
    <col min="15889" max="15889" width="14.77734375" style="328" customWidth="1"/>
    <col min="15890" max="15898" width="9" style="328" customWidth="1"/>
    <col min="15899" max="15899" width="7.109375" style="328" bestFit="1" customWidth="1"/>
    <col min="15900" max="15901" width="9" style="328" customWidth="1"/>
    <col min="15902" max="15906" width="10.33203125" style="328" customWidth="1"/>
    <col min="15907" max="16128" width="9" style="328" customWidth="1"/>
    <col min="16129" max="16129" width="60.33203125" style="328" customWidth="1"/>
    <col min="16130" max="16130" width="2.77734375" style="328" customWidth="1"/>
    <col min="16131" max="16131" width="14.77734375" style="328" customWidth="1"/>
    <col min="16132" max="16132" width="13.77734375" style="328" bestFit="1" customWidth="1"/>
    <col min="16133" max="16133" width="15.33203125" style="328" customWidth="1"/>
    <col min="16134" max="16134" width="14.109375" style="328" customWidth="1"/>
    <col min="16135" max="16135" width="15.109375" style="328" customWidth="1"/>
    <col min="16136" max="16136" width="13.33203125" style="328" customWidth="1"/>
    <col min="16137" max="16137" width="17.33203125" style="328" customWidth="1"/>
    <col min="16138" max="16138" width="15.109375" style="328" customWidth="1"/>
    <col min="16139" max="16139" width="19.6640625" style="328" customWidth="1"/>
    <col min="16140" max="16142" width="16" style="328" customWidth="1"/>
    <col min="16143" max="16143" width="14.77734375" style="328" customWidth="1"/>
    <col min="16144" max="16144" width="17.33203125" style="328" customWidth="1"/>
    <col min="16145" max="16145" width="14.77734375" style="328" customWidth="1"/>
    <col min="16146" max="16154" width="9" style="328" customWidth="1"/>
    <col min="16155" max="16155" width="7.109375" style="328" bestFit="1" customWidth="1"/>
    <col min="16156" max="16157" width="9" style="328" customWidth="1"/>
    <col min="16158" max="16162" width="10.33203125" style="328" customWidth="1"/>
    <col min="16163" max="16384" width="9" style="328" customWidth="1"/>
  </cols>
  <sheetData>
    <row r="1" spans="1:27" x14ac:dyDescent="0.25">
      <c r="A1" s="327" t="s">
        <v>0</v>
      </c>
      <c r="B1" s="808" t="str">
        <f>'Cover Page'!D1</f>
        <v>AIBT Non-Profit Charter High School</v>
      </c>
      <c r="C1" s="808"/>
      <c r="D1" s="808"/>
      <c r="E1" s="808"/>
      <c r="G1" s="327" t="s">
        <v>1</v>
      </c>
      <c r="H1" s="808" t="str">
        <f>'Cover Page'!M1</f>
        <v>Maricopa</v>
      </c>
      <c r="I1" s="808"/>
      <c r="K1" s="327" t="s">
        <v>2</v>
      </c>
      <c r="L1" s="330" t="str">
        <f>'Cover Page'!R1</f>
        <v>078286000</v>
      </c>
      <c r="M1" s="331"/>
      <c r="N1" s="331"/>
      <c r="O1" s="332"/>
      <c r="P1" s="333"/>
    </row>
    <row r="2" spans="1:27" x14ac:dyDescent="0.25">
      <c r="A2" s="327"/>
      <c r="B2" s="327"/>
      <c r="C2" s="337"/>
      <c r="D2" s="331"/>
      <c r="E2" s="338"/>
      <c r="F2" s="338"/>
      <c r="G2" s="338"/>
      <c r="H2" s="327"/>
      <c r="I2" s="331"/>
      <c r="J2" s="331"/>
      <c r="K2" s="331"/>
      <c r="L2" s="338"/>
      <c r="M2" s="331"/>
      <c r="N2" s="331"/>
      <c r="O2" s="332"/>
      <c r="P2" s="332"/>
      <c r="Q2" s="339"/>
    </row>
    <row r="3" spans="1:27" x14ac:dyDescent="0.25">
      <c r="B3" s="602"/>
      <c r="C3" s="602" t="s">
        <v>427</v>
      </c>
      <c r="D3" s="602"/>
      <c r="E3" s="602"/>
      <c r="F3" s="602"/>
      <c r="G3" s="602"/>
      <c r="H3" s="602"/>
      <c r="I3" s="602"/>
      <c r="J3" s="602"/>
      <c r="K3" s="602"/>
      <c r="L3" s="602"/>
      <c r="M3" s="602"/>
      <c r="N3" s="332"/>
    </row>
    <row r="4" spans="1:27" ht="24" customHeight="1" x14ac:dyDescent="0.25">
      <c r="L4" s="332"/>
      <c r="M4" s="602"/>
      <c r="N4" s="602"/>
    </row>
    <row r="5" spans="1:27" x14ac:dyDescent="0.25">
      <c r="A5" s="811"/>
      <c r="B5" s="33"/>
      <c r="C5" s="340"/>
      <c r="D5" s="813" t="s">
        <v>360</v>
      </c>
      <c r="E5" s="814"/>
      <c r="F5" s="814"/>
      <c r="G5" s="814"/>
      <c r="H5" s="814"/>
      <c r="I5" s="814"/>
      <c r="J5" s="814"/>
      <c r="K5" s="814"/>
      <c r="L5" s="815"/>
      <c r="M5" s="341" t="s">
        <v>428</v>
      </c>
      <c r="N5" s="816" t="s">
        <v>292</v>
      </c>
    </row>
    <row r="6" spans="1:27" x14ac:dyDescent="0.25">
      <c r="A6" s="812"/>
      <c r="D6" s="342"/>
      <c r="E6" s="343"/>
      <c r="F6" s="343" t="s">
        <v>153</v>
      </c>
      <c r="G6" s="343"/>
      <c r="H6" s="343"/>
      <c r="I6" s="343"/>
      <c r="J6" s="343"/>
      <c r="K6" s="343" t="s">
        <v>97</v>
      </c>
      <c r="L6" s="344"/>
      <c r="N6" s="817"/>
    </row>
    <row r="7" spans="1:27" x14ac:dyDescent="0.25">
      <c r="D7" s="345"/>
      <c r="E7" s="346" t="s">
        <v>88</v>
      </c>
      <c r="F7" s="346" t="s">
        <v>95</v>
      </c>
      <c r="G7" s="346"/>
      <c r="H7" s="346" t="s">
        <v>361</v>
      </c>
      <c r="I7" s="346" t="s">
        <v>429</v>
      </c>
      <c r="J7" s="346"/>
      <c r="K7" s="347" t="s">
        <v>362</v>
      </c>
      <c r="L7" s="348"/>
      <c r="M7" s="349" t="s">
        <v>430</v>
      </c>
      <c r="N7" s="817"/>
    </row>
    <row r="8" spans="1:27" ht="12" customHeight="1" x14ac:dyDescent="0.25">
      <c r="A8" s="819" t="s">
        <v>431</v>
      </c>
      <c r="B8" s="819"/>
      <c r="C8" s="820"/>
      <c r="D8" s="346" t="s">
        <v>93</v>
      </c>
      <c r="E8" s="350" t="s">
        <v>94</v>
      </c>
      <c r="F8" s="350" t="s">
        <v>363</v>
      </c>
      <c r="G8" s="350" t="s">
        <v>96</v>
      </c>
      <c r="H8" s="350" t="s">
        <v>364</v>
      </c>
      <c r="I8" s="350" t="s">
        <v>432</v>
      </c>
      <c r="J8" s="350" t="s">
        <v>365</v>
      </c>
      <c r="K8" s="347" t="s">
        <v>433</v>
      </c>
      <c r="L8" s="351" t="s">
        <v>367</v>
      </c>
      <c r="M8" s="349" t="s">
        <v>434</v>
      </c>
      <c r="N8" s="817"/>
    </row>
    <row r="9" spans="1:27" x14ac:dyDescent="0.25">
      <c r="A9" s="821"/>
      <c r="B9" s="821"/>
      <c r="C9" s="822"/>
      <c r="D9" s="352">
        <v>6100</v>
      </c>
      <c r="E9" s="352">
        <v>6200</v>
      </c>
      <c r="F9" s="352">
        <v>6500</v>
      </c>
      <c r="G9" s="352">
        <v>6600</v>
      </c>
      <c r="H9" s="352">
        <v>6810</v>
      </c>
      <c r="I9" s="352">
        <v>6820</v>
      </c>
      <c r="J9" s="352">
        <v>6890</v>
      </c>
      <c r="K9" s="352" t="s">
        <v>435</v>
      </c>
      <c r="L9" s="351" t="s">
        <v>370</v>
      </c>
      <c r="M9" s="353" t="s">
        <v>436</v>
      </c>
      <c r="N9" s="818"/>
    </row>
    <row r="10" spans="1:27" ht="12.75" customHeight="1" x14ac:dyDescent="0.25">
      <c r="A10" s="354" t="s">
        <v>206</v>
      </c>
      <c r="B10" s="355"/>
      <c r="C10" s="356" t="s">
        <v>24</v>
      </c>
      <c r="D10" s="357">
        <f t="array" ref="D10">SUM(SUMIFS('Accounting data'!G2:G65539,'Accounting data'!H2:H65539,"1310-1399-C*",'Accounting data'!I2:I65539,{"1*","2*","3*","4*","5*","6*"},'Accounting data'!J2:J65539,"1*",'Accounting data'!K2:K65539,"61*"))+SUM(SUMIFS('Accounting data'!G2:G65539,'Accounting data'!H2:H65539,"1227*",'Accounting data'!I2:I65539,{"1*","2*","3*","4*","5*","6*"},'Accounting data'!J2:J65539,"1*",'Accounting data'!K2:K65539,"61*"))+SUM(SUMIFS('Accounting data'!G2:G65539,'Accounting data'!H2:H65539,"1228*",'Accounting data'!I2:I65539,{"1*","2*","3*","4*","5*","6*"},'Accounting data'!J2:J65539,"1*",'Accounting data'!K2:K65539,"61*"))</f>
        <v>0</v>
      </c>
      <c r="E10" s="357">
        <f t="array" ref="E10">SUM(SUMIFS('Accounting data'!G2:G65539,'Accounting data'!H2:H65539,"1310-1399-C*",'Accounting data'!I2:I65539,{"1*","2*","3*","4*","5*","6*"},'Accounting data'!J2:J65539,"1*",'Accounting data'!K2:K65539,"62*"))+SUM(SUMIFS('Accounting data'!G2:G65539,'Accounting data'!H2:H65539,"1227*",'Accounting data'!I2:I65539,{"1*","2*","3*","4*","5*","6*"},'Accounting data'!J2:J65539,"1*",'Accounting data'!K2:K65539,"62*"))+SUM(SUMIFS('Accounting data'!G2:G65539,'Accounting data'!H2:H65539,"1228*",'Accounting data'!I2:I65539,{"1*","2*","3*","4*","5*","6*"},'Accounting data'!J2:J65539,"1*",'Accounting data'!K2:K65539,"62*"))</f>
        <v>0</v>
      </c>
      <c r="F10" s="357">
        <f t="array" ref="F10">SUM(SUMIFS('Accounting data'!G2:G65539,'Accounting data'!H2:H65539,"1310-1399-C*",'Accounting data'!I2:I65539,{"1*","2*","3*","4*","5*","6*"},'Accounting data'!J2:J65539,"1*",'Accounting data'!K2:K65539,"63*"))+SUM(SUMIFS('Accounting data'!G2:G65539,'Accounting data'!H2:H65539,"1227*",'Accounting data'!I2:I65539,{"1*","2*","3*","4*","5*","6*"},'Accounting data'!J2:J65539,"1*",'Accounting data'!K2:K65539,"63*"))+SUM(SUMIFS('Accounting data'!G2:G65539,'Accounting data'!H2:H65539,"1228*",'Accounting data'!I2:I65539,{"1*","2*","3*","4*","5*","6*"},'Accounting data'!J2:J65539,"1*",'Accounting data'!K2:K65539,"63*"))</f>
        <v>0</v>
      </c>
      <c r="G10" s="357">
        <f t="array" ref="G10">SUM(SUMIFS('Accounting data'!G2:G65539,'Accounting data'!H2:H65539,"1310-1399-C*",'Accounting data'!I2:I65539,{"1*","2*","3*","4*","5*","6*"},'Accounting data'!J2:J65539,"1*",'Accounting data'!K2:K65539,"66*"))+SUM(SUMIFS('Accounting data'!G2:G65539,'Accounting data'!H2:H65539,"1227*",'Accounting data'!I2:I65539,{"1*","2*","3*","4*","5*","6*"},'Accounting data'!J2:J65539,"1*",'Accounting data'!K2:K65539,"66*"))+SUM(SUMIFS('Accounting data'!G2:G65539,'Accounting data'!H2:H65539,"1228*",'Accounting data'!I2:I65539,{"1*","2*","3*","4*","5*","6*"},'Accounting data'!J2:J65539,"1*",'Accounting data'!K2:K65539,"66*"))</f>
        <v>0</v>
      </c>
      <c r="H10" s="357">
        <f t="array" ref="H10">SUM(SUMIFS('Accounting data'!G2:G65539,'Accounting data'!H2:H65539,"1310-1399-C*",'Accounting data'!I2:I65539,{"1*","2*","3*","4*","5*","6*"},'Accounting data'!J2:J65539,"1*",'Accounting data'!K2:K65539,"681*"))+SUM(SUMIFS('Accounting data'!G2:G65539,'Accounting data'!H2:H65539,"1227*",'Accounting data'!I2:I65539,{"1*","2*","3*","4*","5*","6*"},'Accounting data'!J2:J65539,"1*",'Accounting data'!K2:K65539,"681*"))+SUM(SUMIFS('Accounting data'!G2:G65539,'Accounting data'!H2:H65539,"1228*",'Accounting data'!I2:I65539,{"1*","2*","3*","4*","5*","6*"},'Accounting data'!J2:J65539,"1*",'Accounting data'!K2:K65539,"681*"))</f>
        <v>0</v>
      </c>
      <c r="I10" s="358"/>
      <c r="J10" s="357">
        <f t="array" ref="J10">SUM(SUMIFS('Accounting data'!G2:G65539,'Accounting data'!H2:H65539,"1310-1399-C*",'Accounting data'!I2:I65539,{"1*","2*","3*","4*","5*","6*"},'Accounting data'!J2:J65539,"1*",'Accounting data'!K2:K65539,"689*"))+SUM(SUMIFS('Accounting data'!G2:G65539,'Accounting data'!H2:H65539,"1227*",'Accounting data'!I2:I65539,{"1*","2*","3*","4*","5*","6*"},'Accounting data'!J2:J65539,"1*",'Accounting data'!K2:K65539,"689*"))+SUM(SUMIFS('Accounting data'!G2:G65539,'Accounting data'!H2:H65539,"1228*",'Accounting data'!I2:I65539,{"1*","2*","3*","4*","5*","6*"},'Accounting data'!J2:J65539,"1*",'Accounting data'!K2:K65539,"689*"))</f>
        <v>0</v>
      </c>
      <c r="K10" s="357">
        <f t="array" ref="K10">SUM(SUMIFS('Accounting data'!G2:G65539,'Accounting data'!H2:H65539,"1310-1399-C*",'Accounting data'!I2:I65539,{"1*","2*","3*","4*","5*","6*"},'Accounting data'!J2:J65539,"1*",'Accounting data'!K2:K65539,"683*"))+SUM(SUMIFS('Accounting data'!G2:G65539,'Accounting data'!H2:H65539,"1227*",'Accounting data'!I2:I65539,{"1*","2*","3*","4*","5*","6*"},'Accounting data'!J2:J65539,"1*",'Accounting data'!K2:K65539,"683*"))+SUM(SUMIFS('Accounting data'!G2:G65539,'Accounting data'!H2:H65539,"1228*",'Accounting data'!I2:I65539,{"1*","2*","3*","4*","5*","6*"},'Accounting data'!J2:J65539,"1*",'Accounting data'!K2:K65539,"683*"))</f>
        <v>0</v>
      </c>
      <c r="L10" s="34">
        <v>0</v>
      </c>
      <c r="M10" s="357">
        <f t="array" ref="M10">SUM(SUMIFS('Accounting data'!G2:G65539,'Accounting data'!H2:H65539,"1310-1399-C*",'Accounting data'!I2:I65539,{"7*","8*","9*"},'Accounting data'!J2:J65539,"1*",'Accounting data'!K2:K65539,"6*"))-SUM(SUMIFS('Accounting data'!G2:G65539,'Accounting data'!H2:H65539,"1310-1399-C*",'Accounting data'!I2:I65539,{"7*","8*","9*"},'Accounting data'!J2:J65539,"1*",'Accounting data'!K2:K65539,"69*"))+SUM(SUMIFS('Accounting data'!G2:G65539,'Accounting data'!H2:H65539,"1227*",'Accounting data'!I2:I65539,{"7*","8*","9*"},'Accounting data'!J2:J65539,"1*",'Accounting data'!K2:K65539,"6*"))-SUM(SUMIFS('Accounting data'!G2:G65539,'Accounting data'!H2:H65539,"1227*",'Accounting data'!I2:I65539,{"7*","8*","9*"},'Accounting data'!J2:J65539,"1*",'Accounting data'!K2:K65539,"69*"))+SUM(SUMIFS('Accounting data'!G2:G65539,'Accounting data'!H2:H65539,"1228*",'Accounting data'!I2:I65539,{"7*","8*","9*"},'Accounting data'!J2:J65539,"1*",'Accounting data'!K2:K65539,"6*"))-SUM(SUMIFS('Accounting data'!G2:G65539,'Accounting data'!H2:H65539,"1228*",'Accounting data'!I2:I65539,{"7*","8*","9*"},'Accounting data'!J2:J65539,"1*",'Accounting data'!K2:K65539,"69*"))</f>
        <v>0</v>
      </c>
      <c r="N10" s="359">
        <f t="shared" ref="N10:N19" si="0">ROUND(SUM(D10:M10),0)</f>
        <v>0</v>
      </c>
      <c r="O10" s="360"/>
    </row>
    <row r="11" spans="1:27" x14ac:dyDescent="0.25">
      <c r="A11" s="361" t="s">
        <v>437</v>
      </c>
      <c r="B11" s="629"/>
      <c r="C11" s="362" t="s">
        <v>26</v>
      </c>
      <c r="D11" s="357">
        <f t="array" ref="D11">SUM(SUMIFS('Accounting data'!G2:G65539,'Accounting data'!H2:H65539,"1310-1399-C*",'Accounting data'!I2:I65539,{"1*","2*","3*","4*","5*","6*"},'Accounting data'!J2:J65539,"21*",'Accounting data'!K2:K65539,"61*"))+SUM(SUMIFS('Accounting data'!G2:G65539,'Accounting data'!H2:H65539,"1310-1399-C*",'Accounting data'!I2:I65539,{"1*","2*","3*","4*","5*","6*"},'Accounting data'!J2:J65539,"22*",'Accounting data'!K2:K65539,"61*"))+SUM(SUMIFS('Accounting data'!G2:G65539,'Accounting data'!H2:H65539,"1227*",'Accounting data'!I2:I65539,{"1*","2*","3*","4*","5*","6*"},'Accounting data'!J2:J65539,"21*",'Accounting data'!K2:K65539,"61*"))+SUM(SUMIFS('Accounting data'!G2:G65539,'Accounting data'!H2:H65539,"1227*",'Accounting data'!I2:I65539,{"1*","2*","3*","4*","5*","6*"},'Accounting data'!J2:J65539,"22*",'Accounting data'!K2:K65539,"61*"))+SUM(SUMIFS('Accounting data'!G2:G65539,'Accounting data'!H2:H65539,"1228*",'Accounting data'!I2:I65539,{"1*","2*","3*","4*","5*","6*"},'Accounting data'!J2:J65539,"21*",'Accounting data'!K2:K65539,"61*"))+SUM(SUMIFS('Accounting data'!G2:G65539,'Accounting data'!H2:H65539,"1228*",'Accounting data'!I2:I65539,{"1*","2*","3*","4*","5*","6*"},'Accounting data'!J2:J65539,"22*",'Accounting data'!K2:K65539,"61*"))</f>
        <v>0</v>
      </c>
      <c r="E11" s="357">
        <f t="array" ref="E11">SUM(SUMIFS('Accounting data'!G2:G65539,'Accounting data'!H2:H65539,"1310-1399-C*",'Accounting data'!I2:I65539,{"1*","2*","3*","4*","5*","6*"},'Accounting data'!J2:J65539,"21*",'Accounting data'!K2:K65539,"62*"))+SUM(SUMIFS('Accounting data'!G2:G65539,'Accounting data'!H2:H65539,"1310-1399-C*",'Accounting data'!I2:I65539,{"1*","2*","3*","4*","5*","6*"},'Accounting data'!J2:J65539,"22*",'Accounting data'!K2:K65539,"62*"))+SUM(SUMIFS('Accounting data'!G2:G65539,'Accounting data'!H2:H65539,"1227*",'Accounting data'!I2:I65539,{"1*","2*","3*","4*","5*","6*"},'Accounting data'!J2:J65539,"21*",'Accounting data'!K2:K65539,"62*"))+SUM(SUMIFS('Accounting data'!G2:G65539,'Accounting data'!H2:H65539,"1227*",'Accounting data'!I2:I65539,{"1*","2*","3*","4*","5*","6*"},'Accounting data'!J2:J65539,"22*",'Accounting data'!K2:K65539,"62*"))+SUM(SUMIFS('Accounting data'!G2:G65539,'Accounting data'!H2:H65539,"1228*",'Accounting data'!I2:I65539,{"1*","2*","3*","4*","5*","6*"},'Accounting data'!J2:J65539,"21*",'Accounting data'!K2:K65539,"62*"))+SUM(SUMIFS('Accounting data'!G2:G65539,'Accounting data'!H2:H65539,"1228*",'Accounting data'!I2:I65539,{"1*","2*","3*","4*","5*","6*"},'Accounting data'!J2:J65539,"22*",'Accounting data'!K2:K65539,"62*"))</f>
        <v>0</v>
      </c>
      <c r="F11" s="357">
        <f t="array" ref="F11">SUM(SUMIFS('Accounting data'!G2:G65539,'Accounting data'!H2:H65539,"1310-1399-C*",'Accounting data'!I2:I65539,{"1*","2*","3*","4*","5*","6*"},'Accounting data'!J2:J65539,"21*",'Accounting data'!K2:K65539,"63*"))+SUM(SUMIFS('Accounting data'!G2:G65539,'Accounting data'!H2:H65539,"1310-1399-C*",'Accounting data'!I2:I65539,{"1*","2*","3*","4*","5*","6*"},'Accounting data'!J2:J65539,"22*",'Accounting data'!K2:K65539,"63*"))+SUM(SUMIFS('Accounting data'!G2:G65539,'Accounting data'!H2:H65539,"1227*",'Accounting data'!I2:I65539,{"1*","2*","3*","4*","5*","6*"},'Accounting data'!J2:J65539,"21*",'Accounting data'!K2:K65539,"63*"))+SUM(SUMIFS('Accounting data'!G2:G65539,'Accounting data'!H2:H65539,"1227*",'Accounting data'!I2:I65539,{"1*","2*","3*","4*","5*","6*"},'Accounting data'!J2:J65539,"22*",'Accounting data'!K2:K65539,"63*"))+SUM(SUMIFS('Accounting data'!G2:G65539,'Accounting data'!H2:H65539,"1228*",'Accounting data'!I2:I65539,{"1*","2*","3*","4*","5*","6*"},'Accounting data'!J2:J65539,"21*",'Accounting data'!K2:K65539,"63*"))+SUM(SUMIFS('Accounting data'!G2:G65539,'Accounting data'!H2:H65539,"1228*",'Accounting data'!I2:I65539,{"1*","2*","3*","4*","5*","6*"},'Accounting data'!J2:J65539,"22*",'Accounting data'!K2:K65539,"63*"))</f>
        <v>0</v>
      </c>
      <c r="G11" s="357">
        <f t="array" ref="G11">SUM(SUMIFS('Accounting data'!G2:G65539,'Accounting data'!H2:H65539,"1310-1399-C*",'Accounting data'!I2:I65539,{"1*","2*","3*","4*","5*","6*"},'Accounting data'!J2:J65539,"21*",'Accounting data'!K2:K65539,"66*"))+SUM(SUMIFS('Accounting data'!G2:G65539,'Accounting data'!H2:H65539,"1310-1399-C*",'Accounting data'!I2:I65539,{"1*","2*","3*","4*","5*","6*"},'Accounting data'!J2:J65539,"22*",'Accounting data'!K2:K65539,"66*"))+SUM(SUMIFS('Accounting data'!G2:G65539,'Accounting data'!H2:H65539,"1227*",'Accounting data'!I2:I65539,{"1*","2*","3*","4*","5*","6*"},'Accounting data'!J2:J65539,"21*",'Accounting data'!K2:K65539,"66*"))+SUM(SUMIFS('Accounting data'!G2:G65539,'Accounting data'!H2:H65539,"1227*",'Accounting data'!I2:I65539,{"1*","2*","3*","4*","5*","6*"},'Accounting data'!J2:J65539,"22*",'Accounting data'!K2:K65539,"66*"))+SUM(SUMIFS('Accounting data'!G2:G65539,'Accounting data'!H2:H65539,"1228*",'Accounting data'!I2:I65539,{"1*","2*","3*","4*","5*","6*"},'Accounting data'!J2:J65539,"21*",'Accounting data'!K2:K65539,"66*"))+SUM(SUMIFS('Accounting data'!G2:G65539,'Accounting data'!H2:H65539,"1228*",'Accounting data'!I2:I65539,{"1*","2*","3*","4*","5*","6*"},'Accounting data'!J2:J65539,"22*",'Accounting data'!K2:K65539,"66*"))</f>
        <v>0</v>
      </c>
      <c r="H11" s="357">
        <f t="array" ref="H11">SUM(SUMIFS('Accounting data'!G2:G65539,'Accounting data'!H2:H65539,"1310-1399-C*",'Accounting data'!I2:I65539,{"1*","2*","3*","4*","5*","6*"},'Accounting data'!J2:J65539,"21*",'Accounting data'!K2:K65539,"681*"))+SUM(SUMIFS('Accounting data'!G2:G65539,'Accounting data'!H2:H65539,"1310-1399-C*",'Accounting data'!I2:I65539,{"1*","2*","3*","4*","5*","6*"},'Accounting data'!J2:J65539,"22*",'Accounting data'!K2:K65539,"681*"))+SUM(SUMIFS('Accounting data'!G2:G65539,'Accounting data'!H2:H65539,"1227*",'Accounting data'!I2:I65539,{"1*","2*","3*","4*","5*","6*"},'Accounting data'!J2:J65539,"21*",'Accounting data'!K2:K65539,"681*"))+SUM(SUMIFS('Accounting data'!G2:G65539,'Accounting data'!H2:H65539,"1227*",'Accounting data'!I2:I65539,{"1*","2*","3*","4*","5*","6*"},'Accounting data'!J2:J65539,"22*",'Accounting data'!K2:K65539,"681*"))+SUM(SUMIFS('Accounting data'!G2:G65539,'Accounting data'!H2:H65539,"1228*",'Accounting data'!I2:I65539,{"1*","2*","3*","4*","5*","6*"},'Accounting data'!J2:J65539,"21*",'Accounting data'!K2:K65539,"681*"))+SUM(SUMIFS('Accounting data'!G2:G65539,'Accounting data'!H2:H65539,"1228*",'Accounting data'!I2:I65539,{"1*","2*","3*","4*","5*","6*"},'Accounting data'!J2:J65539,"22*",'Accounting data'!K2:K65539,"681*"))</f>
        <v>0</v>
      </c>
      <c r="I11" s="358"/>
      <c r="J11" s="357">
        <f t="array" ref="J11">SUM(SUMIFS('Accounting data'!G2:G65539,'Accounting data'!H2:H65539,"1310-1399-C*",'Accounting data'!I2:I65539,{"1*","2*","3*","4*","5*","6*"},'Accounting data'!J2:J65539,"21*",'Accounting data'!K2:K65539,"689*"))+SUM(SUMIFS('Accounting data'!G2:G65539,'Accounting data'!H2:H65539,"1310-1399-C*",'Accounting data'!I2:I65539,{"1*","2*","3*","4*","5*","6*"},'Accounting data'!J2:J65539,"22*",'Accounting data'!K2:K65539,"689*"))+SUM(SUMIFS('Accounting data'!G2:G65539,'Accounting data'!H2:H65539,"1227*",'Accounting data'!I2:I65539,{"1*","2*","3*","4*","5*","6*"},'Accounting data'!J2:J65539,"21*",'Accounting data'!K2:K65539,"689*"))+SUM(SUMIFS('Accounting data'!G2:G65539,'Accounting data'!H2:H65539,"1227*",'Accounting data'!I2:I65539,{"1*","2*","3*","4*","5*","6*"},'Accounting data'!J2:J65539,"22*",'Accounting data'!K2:K65539,"689*"))+SUM(SUMIFS('Accounting data'!G2:G65539,'Accounting data'!H2:H65539,"1228*",'Accounting data'!I2:I65539,{"1*","2*","3*","4*","5*","6*"},'Accounting data'!J2:J65539,"21*",'Accounting data'!K2:K65539,"689*"))+SUM(SUMIFS('Accounting data'!G2:G65539,'Accounting data'!H2:H65539,"1228*",'Accounting data'!I2:I65539,{"1*","2*","3*","4*","5*","6*"},'Accounting data'!J2:J65539,"22*",'Accounting data'!K2:K65539,"689*"))</f>
        <v>0</v>
      </c>
      <c r="K11" s="357">
        <f t="array" ref="K11">SUM(SUMIFS('Accounting data'!G2:G65539,'Accounting data'!H2:H65539,"1310-1399-C*",'Accounting data'!I2:I65539,{"1*","2*","3*","4*","5*","6*"},'Accounting data'!J2:J65539,"21*",'Accounting data'!K2:K65539,"683*"))+SUM(SUMIFS('Accounting data'!G2:G65539,'Accounting data'!H2:H65539,"1310-1399-C*",'Accounting data'!I2:I65539,{"1*","2*","3*","4*","5*","6*"},'Accounting data'!J2:J65539,"22*",'Accounting data'!K2:K65539,"683*"))+SUM(SUMIFS('Accounting data'!G2:G65539,'Accounting data'!H2:H65539,"1227*",'Accounting data'!I2:I65539,{"1*","2*","3*","4*","5*","6*"},'Accounting data'!J2:J65539,"21*",'Accounting data'!K2:K65539,"683*"))+SUM(SUMIFS('Accounting data'!G2:G65539,'Accounting data'!H2:H65539,"1227*",'Accounting data'!I2:I65539,{"1*","2*","3*","4*","5*","6*"},'Accounting data'!J2:J65539,"22*",'Accounting data'!K2:K65539,"683*"))+SUM(SUMIFS('Accounting data'!G2:G65539,'Accounting data'!H2:H65539,"1228*",'Accounting data'!I2:I65539,{"1*","2*","3*","4*","5*","6*"},'Accounting data'!J2:J65539,"21*",'Accounting data'!K2:K65539,"683*"))+SUM(SUMIFS('Accounting data'!G2:G65539,'Accounting data'!H2:H65539,"1228*",'Accounting data'!I2:I65539,{"1*","2*","3*","4*","5*","6*"},'Accounting data'!J2:J65539,"22*",'Accounting data'!K2:K65539,"683*"))</f>
        <v>0</v>
      </c>
      <c r="L11" s="34">
        <v>0</v>
      </c>
      <c r="M11" s="357">
        <f t="array" ref="M11">(SUM(SUMIFS('Accounting data'!G2:G65539,'Accounting data'!H2:H65539,"1310-1399-C*",'Accounting data'!I2:I65539,{"7*","8*","9*"},'Accounting data'!J2:J65539,"21*",'Accounting data'!K2:K65539,"6*"))+SUM(SUMIFS('Accounting data'!G2:G65539,'Accounting data'!H2:H65539,"1310-1399-C*",'Accounting data'!I2:I65539,{"7*","8*","9*"},'Accounting data'!J2:J65539,"22*",'Accounting data'!K2:K65539,"6*")))-(SUM(SUMIFS('Accounting data'!G2:G65539,'Accounting data'!H2:H65539,"1310-1399-C*",'Accounting data'!I2:I65539,{"7*","8*","9*"},'Accounting data'!J2:J65539,"21*",'Accounting data'!K2:K65539,"69*"))+SUM(SUMIFS('Accounting data'!G2:G65539,'Accounting data'!H2:H65539,"1310-1399-C*",'Accounting data'!I2:I65539,{"7*","8*","9*"},'Accounting data'!J2:J65539,"22*",'Accounting data'!K2:K65539,"69*")))+(SUM(SUMIFS('Accounting data'!G2:G65539,'Accounting data'!H2:H65539,"1227*",'Accounting data'!I2:I65539,{"7*","8*","9*"},'Accounting data'!J2:J65539,"21*",'Accounting data'!K2:K65539,"6*"))+SUM(SUMIFS('Accounting data'!G2:G65539,'Accounting data'!H2:H65539,"1227*",'Accounting data'!I2:I65539,{"7*","8*","9*"},'Accounting data'!J2:J65539,"22*",'Accounting data'!K2:K65539,"6*")))-(SUM(SUMIFS('Accounting data'!G2:G65539,'Accounting data'!H2:H65539,"1227*",'Accounting data'!I2:I65539,{"7*","8*","9*"},'Accounting data'!J2:J65539,"21*",'Accounting data'!K2:K65539,"69*"))+SUM(SUMIFS('Accounting data'!G2:G65539,'Accounting data'!H2:H65539,"1227*",'Accounting data'!I2:I65539,{"7*","8*","9*"},'Accounting data'!J2:J65539,"22*",'Accounting data'!K2:K65539,"69*")))+(SUM(SUMIFS('Accounting data'!G2:G65539,'Accounting data'!H2:H65539,"1228*",'Accounting data'!I2:I65539,{"7*","8*","9*"},'Accounting data'!J2:J65539,"21*",'Accounting data'!K2:K65539,"6*"))+SUM(SUMIFS('Accounting data'!G2:G65539,'Accounting data'!H2:H65539,"1228*",'Accounting data'!I2:I65539,{"7*","8*","9*"},'Accounting data'!J2:J65539,"22*",'Accounting data'!K2:K65539,"6*")))-(SUM(SUMIFS('Accounting data'!G2:G65539,'Accounting data'!H2:H65539,"1228*",'Accounting data'!I2:I65539,{"7*","8*","9*"},'Accounting data'!J2:J65539,"21*",'Accounting data'!K2:K65539,"69*"))+SUM(SUMIFS('Accounting data'!G2:G65539,'Accounting data'!H2:H65539,"1228*",'Accounting data'!I2:I65539,{"7*","8*","9*"},'Accounting data'!J2:J65539,"22*",'Accounting data'!K2:K65539,"69*")))</f>
        <v>0</v>
      </c>
      <c r="N11" s="359">
        <f t="shared" si="0"/>
        <v>0</v>
      </c>
      <c r="O11" s="360"/>
    </row>
    <row r="12" spans="1:27" x14ac:dyDescent="0.25">
      <c r="A12" s="361" t="s">
        <v>438</v>
      </c>
      <c r="B12" s="629"/>
      <c r="C12" s="362" t="s">
        <v>28</v>
      </c>
      <c r="D12" s="357">
        <f t="array" ref="D12">SUM(SUMIFS('Accounting data'!G2:G65539,'Accounting data'!H2:H65539,"1310-1399-C*",'Accounting data'!I2:I65539,{"1*","2*","3*","4*","5*","6*"},'Accounting data'!J2:J65539,"23*",'Accounting data'!K2:K65539,"61*"))+SUM(SUMIFS('Accounting data'!G2:G65539,'Accounting data'!H2:H65539,"1310-1399-C*",'Accounting data'!I2:I65539,{"1*","2*","3*","4*","5*","6*"},'Accounting data'!J2:J65539,"25*",'Accounting data'!K2:K65539,"61*"))+SUM(SUMIFS('Accounting data'!G2:G65539,'Accounting data'!H2:H65539,"1310-1399-C*",'Accounting data'!I2:I65539,{"1*","2*","3*","4*","5*","6*"},'Accounting data'!J2:J65539,"29*",'Accounting data'!K2:K65539,"61*"))+SUM(SUMIFS('Accounting data'!G2:G65539,'Accounting data'!H2:H65539,"1227*",'Accounting data'!I2:I65539,{"1*","2*","3*","4*","5*","6*"},'Accounting data'!J2:J65539,"23*",'Accounting data'!K2:K65539,"61*"))+SUM(SUMIFS('Accounting data'!G2:G65539,'Accounting data'!H2:H65539,"1227*",'Accounting data'!I2:I65539,{"1*","2*","3*","4*","5*","6*"},'Accounting data'!J2:J65539,"25*",'Accounting data'!K2:K65539,"61*"))+SUM(SUMIFS('Accounting data'!G2:G65539,'Accounting data'!H2:H65539,"1227*",'Accounting data'!I2:I65539,{"1*","2*","3*","4*","5*","6*"},'Accounting data'!J2:J65539,"29*",'Accounting data'!K2:K65539,"61*"))+SUM(SUMIFS('Accounting data'!G2:G65539,'Accounting data'!H2:H65539,"1228*",'Accounting data'!I2:I65539,{"1*","2*","3*","4*","5*","6*"},'Accounting data'!J2:J65539,"23*",'Accounting data'!K2:K65539,"61*"))+SUM(SUMIFS('Accounting data'!G2:G65539,'Accounting data'!H2:H65539,"1228*",'Accounting data'!I2:I65539,{"1*","2*","3*","4*","5*","6*"},'Accounting data'!J2:J65539,"25*",'Accounting data'!K2:K65539,"61*"))+SUM(SUMIFS('Accounting data'!G2:G65539,'Accounting data'!H2:H65539,"1228*",'Accounting data'!I2:I65539,{"1*","2*","3*","4*","5*","6*"},'Accounting data'!J2:J65539,"29*",'Accounting data'!K2:K65539,"61*"))</f>
        <v>0</v>
      </c>
      <c r="E12" s="357">
        <f t="array" ref="E12">SUM(SUMIFS('Accounting data'!G2:G65539,'Accounting data'!H2:H65539,"1310-1399-C*",'Accounting data'!I2:I65539,{"1*","2*","3*","4*","5*","6*"},'Accounting data'!J2:J65539,"23*",'Accounting data'!K2:K65539,"62*"))+SUM(SUMIFS('Accounting data'!G2:G65539,'Accounting data'!H2:H65539,"1310-1399-C*",'Accounting data'!I2:I65539,{"1*","2*","3*","4*","5*","6*"},'Accounting data'!J2:J65539,"25*",'Accounting data'!K2:K65539,"62*"))+SUM(SUMIFS('Accounting data'!G2:G65539,'Accounting data'!H2:H65539,"1310-1399-C*",'Accounting data'!I2:I65539,{"1*","2*","3*","4*","5*","6*"},'Accounting data'!J2:J65539,"29*",'Accounting data'!K2:K65539,"62*"))+SUM(SUMIFS('Accounting data'!G2:G65539,'Accounting data'!H2:H65539,"1227*",'Accounting data'!I2:I65539,{"1*","2*","3*","4*","5*","6*"},'Accounting data'!J2:J65539,"23*",'Accounting data'!K2:K65539,"62*"))+SUM(SUMIFS('Accounting data'!G2:G65539,'Accounting data'!H2:H65539,"1227*",'Accounting data'!I2:I65539,{"1*","2*","3*","4*","5*","6*"},'Accounting data'!J2:J65539,"25*",'Accounting data'!K2:K65539,"62*"))+SUM(SUMIFS('Accounting data'!G2:G65539,'Accounting data'!H2:H65539,"1227*",'Accounting data'!I2:I65539,{"1*","2*","3*","4*","5*","6*"},'Accounting data'!J2:J65539,"29*",'Accounting data'!K2:K65539,"62*"))+SUM(SUMIFS('Accounting data'!G2:G65539,'Accounting data'!H2:H65539,"1228*",'Accounting data'!I2:I65539,{"1*","2*","3*","4*","5*","6*"},'Accounting data'!J2:J65539,"23*",'Accounting data'!K2:K65539,"62*"))+SUM(SUMIFS('Accounting data'!G2:G65539,'Accounting data'!H2:H65539,"1228*",'Accounting data'!I2:I65539,{"1*","2*","3*","4*","5*","6*"},'Accounting data'!J2:J65539,"25*",'Accounting data'!K2:K65539,"62*"))+SUM(SUMIFS('Accounting data'!G2:G65539,'Accounting data'!H2:H65539,"1228*",'Accounting data'!I2:I65539,{"1*","2*","3*","4*","5*","6*"},'Accounting data'!J2:J65539,"29*",'Accounting data'!K2:K65539,"62*"))</f>
        <v>0</v>
      </c>
      <c r="F12" s="357">
        <f t="array" ref="F12">SUM(SUMIFS('Accounting data'!G2:G65539,'Accounting data'!H2:H65539,"1310-1399-C*",'Accounting data'!I2:I65539,{"1*","2*","3*","4*","5*","6*"},'Accounting data'!J2:J65539,"23*",'Accounting data'!K2:K65539,"63*"))+SUM(SUMIFS('Accounting data'!G2:G65539,'Accounting data'!H2:H65539,"1310-1399-C*",'Accounting data'!I2:I65539,{"1*","2*","3*","4*","5*","6*"},'Accounting data'!J2:J65539,"25*",'Accounting data'!K2:K65539,"63*"))+SUM(SUMIFS('Accounting data'!G2:G65539,'Accounting data'!H2:H65539,"1310-1399-C*",'Accounting data'!I2:I65539,{"1*","2*","3*","4*","5*","6*"},'Accounting data'!J2:J65539,"29*",'Accounting data'!K2:K65539,"63*"))+SUM(SUMIFS('Accounting data'!G2:G65539,'Accounting data'!H2:H65539,"1227*",'Accounting data'!I2:I65539,{"1*","2*","3*","4*","5*","6*"},'Accounting data'!J2:J65539,"23*",'Accounting data'!K2:K65539,"63*"))+SUM(SUMIFS('Accounting data'!G2:G65539,'Accounting data'!H2:H65539,"1227*",'Accounting data'!I2:I65539,{"1*","2*","3*","4*","5*","6*"},'Accounting data'!J2:J65539,"25*",'Accounting data'!K2:K65539,"63*"))+SUM(SUMIFS('Accounting data'!G2:G65539,'Accounting data'!H2:H65539,"1227*",'Accounting data'!I2:I65539,{"1*","2*","3*","4*","5*","6*"},'Accounting data'!J2:J65539,"29*",'Accounting data'!K2:K65539,"63*"))+SUM(SUMIFS('Accounting data'!G2:G65539,'Accounting data'!H2:H65539,"1228*",'Accounting data'!I2:I65539,{"1*","2*","3*","4*","5*","6*"},'Accounting data'!J2:J65539,"23*",'Accounting data'!K2:K65539,"63*"))+SUM(SUMIFS('Accounting data'!G2:G65539,'Accounting data'!H2:H65539,"1228*",'Accounting data'!I2:I65539,{"1*","2*","3*","4*","5*","6*"},'Accounting data'!J2:J65539,"25*",'Accounting data'!K2:K65539,"63*"))+SUM(SUMIFS('Accounting data'!G2:G65539,'Accounting data'!H2:H65539,"1228*",'Accounting data'!I2:I65539,{"1*","2*","3*","4*","5*","6*"},'Accounting data'!J2:J65539,"29*",'Accounting data'!K2:K65539,"63*"))</f>
        <v>0</v>
      </c>
      <c r="G12" s="357">
        <f t="array" ref="G12">SUM(SUMIFS('Accounting data'!G2:G65539,'Accounting data'!H2:H65539,"1310-1399-C*",'Accounting data'!I2:I65539,{"1*","2*","3*","4*","5*","6*"},'Accounting data'!J2:J65539,"23*",'Accounting data'!K2:K65539,"66*"))+SUM(SUMIFS('Accounting data'!G2:G65539,'Accounting data'!H2:H65539,"1310-1399-C*",'Accounting data'!I2:I65539,{"1*","2*","3*","4*","5*","6*"},'Accounting data'!J2:J65539,"25*",'Accounting data'!K2:K65539,"66*"))+SUM(SUMIFS('Accounting data'!G2:G65539,'Accounting data'!H2:H65539,"1310-1399-C*",'Accounting data'!I2:I65539,{"1*","2*","3*","4*","5*","6*"},'Accounting data'!J2:J65539,"29*",'Accounting data'!K2:K65539,"66*"))+SUM(SUMIFS('Accounting data'!G2:G65539,'Accounting data'!H2:H65539,"1227*",'Accounting data'!I2:I65539,{"1*","2*","3*","4*","5*","6*"},'Accounting data'!J2:J65539,"23*",'Accounting data'!K2:K65539,"66*"))+SUM(SUMIFS('Accounting data'!G2:G65539,'Accounting data'!H2:H65539,"1227*",'Accounting data'!I2:I65539,{"1*","2*","3*","4*","5*","6*"},'Accounting data'!J2:J65539,"25*",'Accounting data'!K2:K65539,"66*"))+SUM(SUMIFS('Accounting data'!G2:G65539,'Accounting data'!H2:H65539,"1227*",'Accounting data'!I2:I65539,{"1*","2*","3*","4*","5*","6*"},'Accounting data'!J2:J65539,"29*",'Accounting data'!K2:K65539,"66*"))+SUM(SUMIFS('Accounting data'!G2:G65539,'Accounting data'!H2:H65539,"1228*",'Accounting data'!I2:I65539,{"1*","2*","3*","4*","5*","6*"},'Accounting data'!J2:J65539,"23*",'Accounting data'!K2:K65539,"66*"))+SUM(SUMIFS('Accounting data'!G2:G65539,'Accounting data'!H2:H65539,"1228*",'Accounting data'!I2:I65539,{"1*","2*","3*","4*","5*","6*"},'Accounting data'!J2:J65539,"25*",'Accounting data'!K2:K65539,"66*"))+SUM(SUMIFS('Accounting data'!G2:G65539,'Accounting data'!H2:H65539,"1228*",'Accounting data'!I2:I65539,{"1*","2*","3*","4*","5*","6*"},'Accounting data'!J2:J65539,"29*",'Accounting data'!K2:K65539,"66*"))</f>
        <v>0</v>
      </c>
      <c r="H12" s="357">
        <f t="array" ref="H12">SUM(SUMIFS('Accounting data'!G2:G65539,'Accounting data'!H2:H65539,"1310-1399-C*",'Accounting data'!I2:I65539,{"1*","2*","3*","4*","5*","6*"},'Accounting data'!J2:J65539,"23*",'Accounting data'!K2:K65539,"681*"))+SUM(SUMIFS('Accounting data'!G2:G65539,'Accounting data'!H2:H65539,"1310-1399-C*",'Accounting data'!I2:I65539,{"1*","2*","3*","4*","5*","6*"},'Accounting data'!J2:J65539,"25*",'Accounting data'!K2:K65539,"681*"))+SUM(SUMIFS('Accounting data'!G2:G65539,'Accounting data'!H2:H65539,"1310-1399-C*",'Accounting data'!I2:I65539,{"1*","2*","3*","4*","5*","6*"},'Accounting data'!J2:J65539,"29*",'Accounting data'!K2:K65539,"681*"))+SUM(SUMIFS('Accounting data'!G2:G65539,'Accounting data'!H2:H65539,"1227*",'Accounting data'!I2:I65539,{"1*","2*","3*","4*","5*","6*"},'Accounting data'!J2:J65539,"23*",'Accounting data'!K2:K65539,"681*"))+SUM(SUMIFS('Accounting data'!G2:G65539,'Accounting data'!H2:H65539,"1227*",'Accounting data'!I2:I65539,{"1*","2*","3*","4*","5*","6*"},'Accounting data'!J2:J65539,"25*",'Accounting data'!K2:K65539,"681*"))+SUM(SUMIFS('Accounting data'!G2:G65539,'Accounting data'!H2:H65539,"1227*",'Accounting data'!I2:I65539,{"1*","2*","3*","4*","5*","6*"},'Accounting data'!J2:J65539,"29*",'Accounting data'!K2:K65539,"681*"))+SUM(SUMIFS('Accounting data'!G2:G65539,'Accounting data'!H2:H65539,"1228*",'Accounting data'!I2:I65539,{"1*","2*","3*","4*","5*","6*"},'Accounting data'!J2:J65539,"23*",'Accounting data'!K2:K65539,"681*"))+SUM(SUMIFS('Accounting data'!G2:G65539,'Accounting data'!H2:H65539,"1228*",'Accounting data'!I2:I65539,{"1*","2*","3*","4*","5*","6*"},'Accounting data'!J2:J65539,"25*",'Accounting data'!K2:K65539,"681*"))+SUM(SUMIFS('Accounting data'!G2:G65539,'Accounting data'!H2:H65539,"1228*",'Accounting data'!I2:I65539,{"1*","2*","3*","4*","5*","6*"},'Accounting data'!J2:J65539,"29*",'Accounting data'!K2:K65539,"681*"))</f>
        <v>0</v>
      </c>
      <c r="I12" s="357">
        <f t="array" ref="I12">SUM(SUMIFS('Accounting data'!G2:G65539,'Accounting data'!H2:H65539,"1310-1399-C*",'Accounting data'!I2:I65539,{"1*","2*","3*","4*","5*","6*"},'Accounting data'!J2:J65539,"23*",'Accounting data'!K2:K65539,"682*"))+SUM(SUMIFS('Accounting data'!G2:G65539,'Accounting data'!H2:H65539,"1310-1399-C*",'Accounting data'!I2:I65539,{"1*","2*","3*","4*","5*","6*"},'Accounting data'!J2:J65539,"25*",'Accounting data'!K2:K65539,"682*"))+SUM(SUMIFS('Accounting data'!G2:G65539,'Accounting data'!H2:H65539,"1310-1399-C*",'Accounting data'!I2:I65539,{"1*","2*","3*","4*","5*","6*"},'Accounting data'!J2:J65539,"29*",'Accounting data'!K2:K65539,"682*"))+SUM(SUMIFS('Accounting data'!G2:G65539,'Accounting data'!H2:H65539,"1227*",'Accounting data'!I2:I65539,{"1*","2*","3*","4*","5*","6*"},'Accounting data'!J2:J65539,"23*",'Accounting data'!K2:K65539,"682*"))+SUM(SUMIFS('Accounting data'!G2:G65539,'Accounting data'!H2:H65539,"1227*",'Accounting data'!I2:I65539,{"1*","2*","3*","4*","5*","6*"},'Accounting data'!J2:J65539,"25*",'Accounting data'!K2:K65539,"682*"))+SUM(SUMIFS('Accounting data'!G2:G65539,'Accounting data'!H2:H65539,"1227*",'Accounting data'!I2:I65539,{"1*","2*","3*","4*","5*","6*"},'Accounting data'!J2:J65539,"29*",'Accounting data'!K2:K65539,"682*"))+SUM(SUMIFS('Accounting data'!G2:G65539,'Accounting data'!H2:H65539,"1228*",'Accounting data'!I2:I65539,{"1*","2*","3*","4*","5*","6*"},'Accounting data'!J2:J65539,"23*",'Accounting data'!K2:K65539,"682*"))+SUM(SUMIFS('Accounting data'!G2:G65539,'Accounting data'!H2:H65539,"1228*",'Accounting data'!I2:I65539,{"1*","2*","3*","4*","5*","6*"},'Accounting data'!J2:J65539,"25*",'Accounting data'!K2:K65539,"682*"))+SUM(SUMIFS('Accounting data'!G2:G65539,'Accounting data'!H2:H65539,"1228*",'Accounting data'!I2:I65539,{"1*","2*","3*","4*","5*","6*"},'Accounting data'!J2:J65539,"29*",'Accounting data'!K2:K65539,"682*"))</f>
        <v>0</v>
      </c>
      <c r="J12" s="357">
        <f t="array" ref="J12">SUM(SUMIFS('Accounting data'!G2:G65539,'Accounting data'!H2:H65539,"1310-1399-C*",'Accounting data'!I2:I65539,{"1*","2*","3*","4*","5*","6*"},'Accounting data'!J2:J65539,"23*",'Accounting data'!K2:K65539,"689*"))+SUM(SUMIFS('Accounting data'!G2:G65539,'Accounting data'!H2:H65539,"1310-1399-C*",'Accounting data'!I2:I65539,{"1*","2*","3*","4*","5*","6*"},'Accounting data'!J2:J65539,"25*",'Accounting data'!K2:K65539,"689*"))+SUM(SUMIFS('Accounting data'!G2:G65539,'Accounting data'!H2:H65539,"1310-1399-C*",'Accounting data'!I2:I65539,{"1*","2*","3*","4*","5*","6*"},'Accounting data'!J2:J65539,"29*",'Accounting data'!K2:K65539,"689*"))+SUM(SUMIFS('Accounting data'!G2:G65539,'Accounting data'!H2:H65539,"1227*",'Accounting data'!I2:I65539,{"1*","2*","3*","4*","5*","6*"},'Accounting data'!J2:J65539,"23*",'Accounting data'!K2:K65539,"689*"))+SUM(SUMIFS('Accounting data'!G2:G65539,'Accounting data'!H2:H65539,"1227*",'Accounting data'!I2:I65539,{"1*","2*","3*","4*","5*","6*"},'Accounting data'!J2:J65539,"25*",'Accounting data'!K2:K65539,"689*"))+SUM(SUMIFS('Accounting data'!G2:G65539,'Accounting data'!H2:H65539,"1227*",'Accounting data'!I2:I65539,{"1*","2*","3*","4*","5*","6*"},'Accounting data'!J2:J65539,"29*",'Accounting data'!K2:K65539,"689*"))+SUM(SUMIFS('Accounting data'!G2:G65539,'Accounting data'!H2:H65539,"1228*",'Accounting data'!I2:I65539,{"1*","2*","3*","4*","5*","6*"},'Accounting data'!J2:J65539,"23*",'Accounting data'!K2:K65539,"689*"))+SUM(SUMIFS('Accounting data'!G2:G65539,'Accounting data'!H2:H65539,"1228*",'Accounting data'!I2:I65539,{"1*","2*","3*","4*","5*","6*"},'Accounting data'!J2:J65539,"25*",'Accounting data'!K2:K65539,"689*"))+SUM(SUMIFS('Accounting data'!G2:G65539,'Accounting data'!H2:H65539,"1228*",'Accounting data'!I2:I65539,{"1*","2*","3*","4*","5*","6*"},'Accounting data'!J2:J65539,"29*",'Accounting data'!K2:K65539,"689*"))</f>
        <v>0</v>
      </c>
      <c r="K12" s="357">
        <f t="array" ref="K12">SUM(SUMIFS('Accounting data'!G2:G65539,'Accounting data'!H2:H65539,"1310-1399-C*",'Accounting data'!I2:I65539,{"1*","2*","3*","4*","5*","6*"},'Accounting data'!J2:J65539,"23*",'Accounting data'!K2:K65539,"683*"))+SUM(SUMIFS('Accounting data'!G2:G65539,'Accounting data'!H2:H65539,"1310-1399-C*",'Accounting data'!I2:I65539,{"1*","2*","3*","4*","5*","6*"},'Accounting data'!J2:J65539,"25*",'Accounting data'!K2:K65539,"683*"))+SUM(SUMIFS('Accounting data'!G2:G65539,'Accounting data'!H2:H65539,"1310-1399-C*",'Accounting data'!I2:I65539,{"1*","2*","3*","4*","5*","6*"},'Accounting data'!J2:J65539,"29*",'Accounting data'!K2:K65539,"683*"))+SUM(SUMIFS('Accounting data'!G2:G65539,'Accounting data'!H2:H65539,"1227*",'Accounting data'!I2:I65539,{"1*","2*","3*","4*","5*","6*"},'Accounting data'!J2:J65539,"23*",'Accounting data'!K2:K65539,"683*"))+SUM(SUMIFS('Accounting data'!G2:G65539,'Accounting data'!H2:H65539,"1227*",'Accounting data'!I2:I65539,{"1*","2*","3*","4*","5*","6*"},'Accounting data'!J2:J65539,"25*",'Accounting data'!K2:K65539,"683*"))+SUM(SUMIFS('Accounting data'!G2:G65539,'Accounting data'!H2:H65539,"1227*",'Accounting data'!I2:I65539,{"1*","2*","3*","4*","5*","6*"},'Accounting data'!J2:J65539,"29*",'Accounting data'!K2:K65539,"683*"))+SUM(SUMIFS('Accounting data'!G2:G65539,'Accounting data'!H2:H65539,"1228*",'Accounting data'!I2:I65539,{"1*","2*","3*","4*","5*","6*"},'Accounting data'!J2:J65539,"23*",'Accounting data'!K2:K65539,"683*"))+SUM(SUMIFS('Accounting data'!G2:G65539,'Accounting data'!H2:H65539,"1228*",'Accounting data'!I2:I65539,{"1*","2*","3*","4*","5*","6*"},'Accounting data'!J2:J65539,"25*",'Accounting data'!K2:K65539,"683*"))+SUM(SUMIFS('Accounting data'!G2:G65539,'Accounting data'!H2:H65539,"1228*",'Accounting data'!I2:I65539,{"1*","2*","3*","4*","5*","6*"},'Accounting data'!J2:J65539,"29*",'Accounting data'!K2:K65539,"683*"))</f>
        <v>0</v>
      </c>
      <c r="L12" s="34">
        <v>0</v>
      </c>
      <c r="M12" s="363">
        <f t="array" ref="M12">(SUM(SUMIFS('Accounting data'!G2:G65539,'Accounting data'!H2:H65539,"1310-1399-C*",'Accounting data'!I2:I65539,{"7*","8*","9*"},'Accounting data'!J2:J65539,"23*",'Accounting data'!K2:K65539,"6*"))+SUM(SUMIFS('Accounting data'!G2:G65539,'Accounting data'!H2:H65539,"1310-1399-C*",'Accounting data'!I2:I65539,{"7*","8*","9*"},'Accounting data'!J2:J65539,"25*",'Accounting data'!K2:K65539,"6*"))+SUM(SUMIFS('Accounting data'!G2:G65539,'Accounting data'!H2:H65539,"1310-1399-C*",'Accounting data'!I2:I65539,{"7*","8*","9*"},'Accounting data'!J2:J65539,"29*",'Accounting data'!K2:K65539,"6*")))-(SUM(SUMIFS('Accounting data'!G2:G65539,'Accounting data'!H2:H65539,"1310-1399-C*",'Accounting data'!I2:I65539,{"7*","8*","9*"},'Accounting data'!J2:J65539,"23*",'Accounting data'!K2:K65539,"69*"))+SUM(SUMIFS('Accounting data'!G2:G65539,'Accounting data'!H2:H65539,"1310-1399-C*",'Accounting data'!I2:I65539,{"7*","8*","9*"},'Accounting data'!J2:J65539,"25*",'Accounting data'!K2:K65539,"69*"))+SUM(SUMIFS('Accounting data'!G2:G65539,'Accounting data'!H2:H65539,"1310-1399-C*",'Accounting data'!I2:I65539,{"7*","8*","9*"},'Accounting data'!J2:J65539,"29*",'Accounting data'!K2:K65539,"69*")))+(SUM(SUMIFS('Accounting data'!G2:G65539,'Accounting data'!H2:H65539,"1227*",'Accounting data'!I2:I65539,{"7*","8*","9*"},'Accounting data'!J2:J65539,"23*",'Accounting data'!K2:K65539,"6*"))+SUM(SUMIFS('Accounting data'!G2:G65539,'Accounting data'!H2:H65539,"1227*",'Accounting data'!I2:I65539,{"7*","8*","9*"},'Accounting data'!J2:J65539,"25*",'Accounting data'!K2:K65539,"6*"))+SUM(SUMIFS('Accounting data'!G2:G65539,'Accounting data'!H2:H65539,"1227*",'Accounting data'!I2:I65539,{"7*","8*","9*"},'Accounting data'!J2:J65539,"29*",'Accounting data'!K2:K65539,"6*")))-(SUM(SUMIFS('Accounting data'!G2:G65539,'Accounting data'!H2:H65539,"1227*",'Accounting data'!I2:I65539,{"7*","8*","9*"},'Accounting data'!J2:J65539,"23*",'Accounting data'!K2:K65539,"69*"))+SUM(SUMIFS('Accounting data'!G2:G65539,'Accounting data'!H2:H65539,"1227*",'Accounting data'!I2:I65539,{"7*","8*","9*"},'Accounting data'!J2:J65539,"25*",'Accounting data'!K2:K65539,"69*"))+SUM(SUMIFS('Accounting data'!G2:G65539,'Accounting data'!H2:H65539,"1227*",'Accounting data'!I2:I65539,{"7*","8*","9*"},'Accounting data'!J2:J65539,"29*",'Accounting data'!K2:K65539,"69*")))+AA12</f>
        <v>0</v>
      </c>
      <c r="N12" s="359">
        <f t="shared" si="0"/>
        <v>0</v>
      </c>
      <c r="O12" s="360"/>
      <c r="AA12" s="364">
        <f t="array" ref="AA12">(SUM(SUMIFS('Accounting data'!G2:G65539,'Accounting data'!H2:H65539,"1228*",'Accounting data'!I2:I65539,{"7*","8*","9*"},'Accounting data'!J2:J65539,"23*",'Accounting data'!K2:K65539,"6*"))+SUM(SUMIFS('Accounting data'!G2:G65539,'Accounting data'!H2:H65539,"1228*",'Accounting data'!I2:I65539,{"7*","8*","9*"},'Accounting data'!J2:J65539,"25*",'Accounting data'!K2:K65539,"6*"))+SUM(SUMIFS('Accounting data'!G2:G65539,'Accounting data'!H2:H65539,"1228*",'Accounting data'!I2:I65539,{"7*","8*","9*"},'Accounting data'!J2:J65539,"29*",'Accounting data'!K2:K65539,"6*")))-(SUM(SUMIFS('Accounting data'!G2:G65539,'Accounting data'!H2:H65539,"1228*",'Accounting data'!I2:I65539,{"7*","8*","9*"},'Accounting data'!J2:J65539,"23*",'Accounting data'!K2:K65539,"69*"))+SUM(SUMIFS('Accounting data'!G2:G65539,'Accounting data'!H2:H65539,"1228*",'Accounting data'!I2:I65539,{"7*","8*","9*"},'Accounting data'!J2:J65539,"25*",'Accounting data'!K2:K65539,"69*"))+SUM(SUMIFS('Accounting data'!G2:G65539,'Accounting data'!H2:H65539,"1228*",'Accounting data'!I2:I65539,{"7*","8*","9*"},'Accounting data'!J2:J65539,"29*",'Accounting data'!K2:K65539,"69*")))</f>
        <v>0</v>
      </c>
    </row>
    <row r="13" spans="1:27" x14ac:dyDescent="0.25">
      <c r="A13" s="365" t="s">
        <v>211</v>
      </c>
      <c r="B13" s="366"/>
      <c r="C13" s="367" t="s">
        <v>31</v>
      </c>
      <c r="D13" s="357">
        <f t="array" ref="D13">SUM(SUMIFS('Accounting data'!G2:G65539,'Accounting data'!H2:H65539,"1310-1399-C*",'Accounting data'!I2:I65539,{"1*","2*","3*","4*","5*","6*"},'Accounting data'!J2:J65539,"24*",'Accounting data'!K2:K65539,"61*"))+SUM(SUMIFS('Accounting data'!G2:G65539,'Accounting data'!H2:H65539,"1227*",'Accounting data'!I2:I65539,{"1*","2*","3*","4*","5*","6*"},'Accounting data'!J2:J65539,"24*",'Accounting data'!K2:K65539,"61*"))+SUM(SUMIFS('Accounting data'!G2:G65539,'Accounting data'!H2:H65539,"1228*",'Accounting data'!I2:I65539,{"1*","2*","3*","4*","5*","6*"},'Accounting data'!J2:J65539,"24*",'Accounting data'!K2:K65539,"61*"))</f>
        <v>0</v>
      </c>
      <c r="E13" s="357">
        <f t="array" ref="E13">SUM(SUMIFS('Accounting data'!G2:G65539,'Accounting data'!H2:H65539,"1310-1399-C*",'Accounting data'!I2:I65539,{"1*","2*","3*","4*","5*","6*"},'Accounting data'!J2:J65539,"24*",'Accounting data'!K2:K65539,"62*"))+SUM(SUMIFS('Accounting data'!G2:G65539,'Accounting data'!H2:H65539,"1227*",'Accounting data'!I2:I65539,{"1*","2*","3*","4*","5*","6*"},'Accounting data'!J2:J65539,"24*",'Accounting data'!K2:K65539,"62*"))+SUM(SUMIFS('Accounting data'!G2:G65539,'Accounting data'!H2:H65539,"1228*",'Accounting data'!I2:I65539,{"1*","2*","3*","4*","5*","6*"},'Accounting data'!J2:J65539,"24*",'Accounting data'!K2:K65539,"62*"))</f>
        <v>0</v>
      </c>
      <c r="F13" s="357">
        <f t="array" ref="F13">SUM(SUMIFS('Accounting data'!G2:G65539,'Accounting data'!H2:H65539,"1310-1399-C*",'Accounting data'!I2:I65539,{"1*","2*","3*","4*","5*","6*"},'Accounting data'!J2:J65539,"24*",'Accounting data'!K2:K65539,"63*"))+SUM(SUMIFS('Accounting data'!G2:G65539,'Accounting data'!H2:H65539,"1227*",'Accounting data'!I2:I65539,{"1*","2*","3*","4*","5*","6*"},'Accounting data'!J2:J65539,"24*",'Accounting data'!K2:K65539,"63*"))+SUM(SUMIFS('Accounting data'!G2:G65539,'Accounting data'!H2:H65539,"1228*",'Accounting data'!I2:I65539,{"1*","2*","3*","4*","5*","6*"},'Accounting data'!J2:J65539,"24*",'Accounting data'!K2:K65539,"63*"))</f>
        <v>0</v>
      </c>
      <c r="G13" s="357">
        <f t="array" ref="G13">SUM(SUMIFS('Accounting data'!G2:G65539,'Accounting data'!H2:H65539,"1310-1399-C*",'Accounting data'!I2:I65539,{"1*","2*","3*","4*","5*","6*"},'Accounting data'!J2:J65539,"24*",'Accounting data'!K2:K65539,"66*"))+SUM(SUMIFS('Accounting data'!G2:G65539,'Accounting data'!H2:H65539,"1227*",'Accounting data'!I2:I65539,{"1*","2*","3*","4*","5*","6*"},'Accounting data'!J2:J65539,"24*",'Accounting data'!K2:K65539,"66*"))+SUM(SUMIFS('Accounting data'!G2:G65539,'Accounting data'!H2:H65539,"1228*",'Accounting data'!I2:I65539,{"1*","2*","3*","4*","5*","6*"},'Accounting data'!J2:J65539,"24*",'Accounting data'!K2:K65539,"66*"))</f>
        <v>0</v>
      </c>
      <c r="H13" s="357">
        <f t="array" ref="H13">SUM(SUMIFS('Accounting data'!G2:G65539,'Accounting data'!H2:H65539,"1310-1399-C*",'Accounting data'!I2:I65539,{"1*","2*","3*","4*","5*","6*"},'Accounting data'!J2:J65539,"24*",'Accounting data'!K2:K65539,"681*"))+SUM(SUMIFS('Accounting data'!G2:G65539,'Accounting data'!H2:H65539,"1227*",'Accounting data'!I2:I65539,{"1*","2*","3*","4*","5*","6*"},'Accounting data'!J2:J65539,"24*",'Accounting data'!K2:K65539,"681*"))+SUM(SUMIFS('Accounting data'!G2:G65539,'Accounting data'!H2:H65539,"1228*",'Accounting data'!I2:I65539,{"1*","2*","3*","4*","5*","6*"},'Accounting data'!J2:J65539,"24*",'Accounting data'!K2:K65539,"681*"))</f>
        <v>0</v>
      </c>
      <c r="I13" s="358"/>
      <c r="J13" s="357">
        <f t="array" ref="J13">SUM(SUMIFS('Accounting data'!G2:G65539,'Accounting data'!H2:H65539,"1310-1399-C*",'Accounting data'!I2:I65539,{"1*","2*","3*","4*","5*","6*"},'Accounting data'!J2:J65539,"24*",'Accounting data'!K2:K65539,"689*"))+SUM(SUMIFS('Accounting data'!G2:G65539,'Accounting data'!H2:H65539,"1227*",'Accounting data'!I2:I65539,{"1*","2*","3*","4*","5*","6*"},'Accounting data'!J2:J65539,"24*",'Accounting data'!K2:K65539,"689*"))+SUM(SUMIFS('Accounting data'!G2:G65539,'Accounting data'!H2:H65539,"1228*",'Accounting data'!I2:I65539,{"1*","2*","3*","4*","5*","6*"},'Accounting data'!J2:J65539,"24*",'Accounting data'!K2:K65539,"689*"))</f>
        <v>0</v>
      </c>
      <c r="K13" s="357">
        <f t="array" ref="K13">SUM(SUMIFS('Accounting data'!G2:G65539,'Accounting data'!H2:H65539,"1310-1399-C*",'Accounting data'!I2:I65539,{"1*","2*","3*","4*","5*","6*"},'Accounting data'!J2:J65539,"24*",'Accounting data'!K2:K65539,"683*"))+SUM(SUMIFS('Accounting data'!G2:G65539,'Accounting data'!H2:H65539,"1227*",'Accounting data'!I2:I65539,{"1*","2*","3*","4*","5*","6*"},'Accounting data'!J2:J65539,"24*",'Accounting data'!K2:K65539,"683*"))+SUM(SUMIFS('Accounting data'!G2:G65539,'Accounting data'!H2:H65539,"1228*",'Accounting data'!I2:I65539,{"1*","2*","3*","4*","5*","6*"},'Accounting data'!J2:J65539,"24*",'Accounting data'!K2:K65539,"683*"))</f>
        <v>0</v>
      </c>
      <c r="L13" s="34">
        <v>0</v>
      </c>
      <c r="M13" s="357">
        <f t="array" ref="M13">SUM(SUMIFS('Accounting data'!G2:G65539,'Accounting data'!H2:H65539,"1310-1399-C*",'Accounting data'!I2:I65539,{"7*","8*","9*"},'Accounting data'!J2:J65539,"24*",'Accounting data'!K2:K65539,"6*"))-SUM(SUMIFS('Accounting data'!G2:G65539,'Accounting data'!H2:H65539,"1310-1399-C*",'Accounting data'!I2:I65539,{"7*","8*","9*"},'Accounting data'!J2:J65539,"24*",'Accounting data'!K2:K65539,"69*"))+SUM(SUMIFS('Accounting data'!G2:G65539,'Accounting data'!H2:H65539,"1227*",'Accounting data'!I2:I65539,{"7*","8*","9*"},'Accounting data'!J2:J65539,"24*",'Accounting data'!K2:K65539,"6*"))-SUM(SUMIFS('Accounting data'!G2:G65539,'Accounting data'!H2:H65539,"1227*",'Accounting data'!I2:I65539,{"7*","8*","9*"},'Accounting data'!J2:J65539,"24*",'Accounting data'!K2:K65539,"69*"))+SUM(SUMIFS('Accounting data'!G2:G65539,'Accounting data'!H2:H65539,"1228*",'Accounting data'!I2:I65539,{"7*","8*","9*"},'Accounting data'!J2:J65539,"24*",'Accounting data'!K2:K65539,"6*"))-SUM(SUMIFS('Accounting data'!G2:G65539,'Accounting data'!H2:H65539,"1228*",'Accounting data'!I2:I65539,{"7*","8*","9*"},'Accounting data'!J2:J65539,"24*",'Accounting data'!K2:K65539,"69*"))+(SUM(SUMIFS('Accounting data'!G2:G65539,'Accounting data'!H2:H65539,"1227*",'Accounting data'!I2:I65539,{"7*","8*","9*"},'Accounting data'!J2:J65539,"23*",'Accounting data'!K2:K65539,"6*"))+SUM(SUMIFS('Accounting data'!G2:G65539,'Accounting data'!H2:H65539,"1227*",'Accounting data'!I2:I65539,{"7*","8*","9*"},'Accounting data'!J2:J65539,"25*",'Accounting data'!K2:K65539,"6*"))+SUM(SUMIFS('Accounting data'!G2:G65539,'Accounting data'!H2:H65539,"1227*",'Accounting data'!I2:I65539,{"7*","8*","9*"},'Accounting data'!J2:J65539,"29*",'Accounting data'!K2:K65539,"6*")))-(SUM(SUMIFS('Accounting data'!G2:G65539,'Accounting data'!H2:H65539,"1227*",'Accounting data'!I2:I65539,{"7*","8*","9*"},'Accounting data'!J2:J65539,"23*",'Accounting data'!K2:K65539,"69*"))+SUM(SUMIFS('Accounting data'!G2:G65539,'Accounting data'!H2:H65539,"1227*",'Accounting data'!I2:I65539,{"7*","8*","9*"},'Accounting data'!J2:J65539,"25*",'Accounting data'!K2:K65539,"69*"))+SUM(SUMIFS('Accounting data'!G2:G65539,'Accounting data'!H2:H65539,"1227*",'Accounting data'!I2:I65539,{"7*","8*","9*"},'Accounting data'!J2:J65539,"29*",'Accounting data'!K2:K65539,"69*")))</f>
        <v>0</v>
      </c>
      <c r="N13" s="359">
        <f t="shared" si="0"/>
        <v>0</v>
      </c>
      <c r="O13" s="368"/>
    </row>
    <row r="14" spans="1:27" x14ac:dyDescent="0.25">
      <c r="A14" s="361" t="s">
        <v>439</v>
      </c>
      <c r="B14" s="629"/>
      <c r="C14" s="367" t="s">
        <v>33</v>
      </c>
      <c r="D14" s="357">
        <f t="array" ref="D14">SUM(SUMIFS('Accounting data'!G2:G65539,'Accounting data'!H2:H65539,"1310-1399-C*",'Accounting data'!I2:I65539,{"1*","2*","3*","4*","5*","6*"},'Accounting data'!J2:J65539,"26*",'Accounting data'!K2:K65539,"61*"))+SUM(SUMIFS('Accounting data'!G2:G65539,'Accounting data'!H2:H65539,"1227*",'Accounting data'!I2:I65539,{"1*","2*","3*","4*","5*","6*"},'Accounting data'!J2:J65539,"26*",'Accounting data'!K2:K65539,"61*"))+SUM(SUMIFS('Accounting data'!G2:G65539,'Accounting data'!H2:H65539,"1228*",'Accounting data'!I2:I65539,{"1*","2*","3*","4*","5*","6*"},'Accounting data'!J2:J65539,"26*",'Accounting data'!K2:K65539,"61*"))</f>
        <v>0</v>
      </c>
      <c r="E14" s="357">
        <f t="array" ref="E14">SUM(SUMIFS('Accounting data'!G2:G65539,'Accounting data'!H2:H65539,"1310-1399-C*",'Accounting data'!I2:I65539,{"1*","2*","3*","4*","5*","6*"},'Accounting data'!J2:J65539,"26*",'Accounting data'!K2:K65539,"62*"))+SUM(SUMIFS('Accounting data'!G2:G65539,'Accounting data'!H2:H65539,"1227*",'Accounting data'!I2:I65539,{"1*","2*","3*","4*","5*","6*"},'Accounting data'!J2:J65539,"26*",'Accounting data'!K2:K65539,"62*"))+SUM(SUMIFS('Accounting data'!G2:G65539,'Accounting data'!H2:H65539,"1228*",'Accounting data'!I2:I65539,{"1*","2*","3*","4*","5*","6*"},'Accounting data'!J2:J65539,"26*",'Accounting data'!K2:K65539,"62*"))</f>
        <v>0</v>
      </c>
      <c r="F14" s="357">
        <f t="array" ref="F14">SUM(SUMIFS('Accounting data'!G2:G65539,'Accounting data'!H2:H65539,"1310-1399-C*",'Accounting data'!I2:I65539,{"1*","2*","3*","4*","5*","6*"},'Accounting data'!J2:J65539,"26*",'Accounting data'!K2:K65539,"63*"))+SUM(SUMIFS('Accounting data'!G2:G65539,'Accounting data'!H2:H65539,"1227*",'Accounting data'!I2:I65539,{"1*","2*","3*","4*","5*","6*"},'Accounting data'!J2:J65539,"26*",'Accounting data'!K2:K65539,"63*"))+SUM(SUMIFS('Accounting data'!G2:G65539,'Accounting data'!H2:H65539,"1228*",'Accounting data'!I2:I65539,{"1*","2*","3*","4*","5*","6*"},'Accounting data'!J2:J65539,"26*",'Accounting data'!K2:K65539,"63*"))</f>
        <v>0</v>
      </c>
      <c r="G14" s="357">
        <f t="array" ref="G14">SUM(SUMIFS('Accounting data'!G2:G65539,'Accounting data'!H2:H65539,"1310-1399-C*",'Accounting data'!I2:I65539,{"1*","2*","3*","4*","5*","6*"},'Accounting data'!J2:J65539,"26*",'Accounting data'!K2:K65539,"66*"))+SUM(SUMIFS('Accounting data'!G2:G65539,'Accounting data'!H2:H65539,"1227*",'Accounting data'!I2:I65539,{"1*","2*","3*","4*","5*","6*"},'Accounting data'!J2:J65539,"26*",'Accounting data'!K2:K65539,"66*"))+SUM(SUMIFS('Accounting data'!G2:G65539,'Accounting data'!H2:H65539,"1228*",'Accounting data'!I2:I65539,{"1*","2*","3*","4*","5*","6*"},'Accounting data'!J2:J65539,"26*",'Accounting data'!K2:K65539,"66*"))</f>
        <v>0</v>
      </c>
      <c r="H14" s="357">
        <f t="array" ref="H14">SUM(SUMIFS('Accounting data'!G2:G65539,'Accounting data'!H2:H65539,"1310-1399-C*",'Accounting data'!I2:I65539,{"1*","2*","3*","4*","5*","6*"},'Accounting data'!J2:J65539,"26*",'Accounting data'!K2:K65539,"681*"))+SUM(SUMIFS('Accounting data'!G2:G65539,'Accounting data'!H2:H65539,"1227*",'Accounting data'!I2:I65539,{"1*","2*","3*","4*","5*","6*"},'Accounting data'!J2:J65539,"26*",'Accounting data'!K2:K65539,"681*"))+SUM(SUMIFS('Accounting data'!G2:G65539,'Accounting data'!H2:H65539,"1228*",'Accounting data'!I2:I65539,{"1*","2*","3*","4*","5*","6*"},'Accounting data'!J2:J65539,"26*",'Accounting data'!K2:K65539,"681*"))</f>
        <v>0</v>
      </c>
      <c r="I14" s="358"/>
      <c r="J14" s="357">
        <f t="array" ref="J14">SUM(SUMIFS('Accounting data'!G2:G65539,'Accounting data'!H2:H65539,"1310-1399-C*",'Accounting data'!I2:I65539,{"1*","2*","3*","4*","5*","6*"},'Accounting data'!J2:J65539,"26*",'Accounting data'!K2:K65539,"689*"))+SUM(SUMIFS('Accounting data'!G2:G65539,'Accounting data'!H2:H65539,"1227*",'Accounting data'!I2:I65539,{"1*","2*","3*","4*","5*","6*"},'Accounting data'!J2:J65539,"26*",'Accounting data'!K2:K65539,"689*"))+SUM(SUMIFS('Accounting data'!G2:G65539,'Accounting data'!H2:H65539,"1228*",'Accounting data'!I2:I65539,{"1*","2*","3*","4*","5*","6*"},'Accounting data'!J2:J65539,"26*",'Accounting data'!K2:K65539,"689*"))</f>
        <v>0</v>
      </c>
      <c r="K14" s="357">
        <f t="array" ref="K14">SUM(SUMIFS('Accounting data'!G2:G65539,'Accounting data'!H2:H65539,"1310-1399-C*",'Accounting data'!I2:I65539,{"1*","2*","3*","4*","5*","6*"},'Accounting data'!J2:J65539,"26*",'Accounting data'!K2:K65539,"683*"))+SUM(SUMIFS('Accounting data'!G2:G65539,'Accounting data'!H2:H65539,"1227*",'Accounting data'!I2:I65539,{"1*","2*","3*","4*","5*","6*"},'Accounting data'!J2:J65539,"26*",'Accounting data'!K2:K65539,"683*"))+SUM(SUMIFS('Accounting data'!G2:G65539,'Accounting data'!H2:H65539,"1228*",'Accounting data'!I2:I65539,{"1*","2*","3*","4*","5*","6*"},'Accounting data'!J2:J65539,"26*",'Accounting data'!K2:K65539,"683*"))</f>
        <v>0</v>
      </c>
      <c r="L14" s="34">
        <v>0</v>
      </c>
      <c r="M14" s="357">
        <f t="array" ref="M14">SUM(SUMIFS('Accounting data'!G2:G65539,'Accounting data'!H2:H65539,"1310-1399-C*",'Accounting data'!I2:I65539,{"7*","8*","9*"},'Accounting data'!J2:J65539,"26*",'Accounting data'!K2:K65539,"6*"))-SUM(SUMIFS('Accounting data'!G2:G65539,'Accounting data'!H2:H65539,"1310-1399-C*",'Accounting data'!I2:I65539,{"7*","8*","9*"},'Accounting data'!J2:J65539,"26*",'Accounting data'!K2:K65539,"69*"))+SUM(SUMIFS('Accounting data'!G2:G65539,'Accounting data'!H2:H65539,"1227*",'Accounting data'!I2:I65539,{"7*","8*","9*"},'Accounting data'!J2:J65539,"26*",'Accounting data'!K2:K65539,"6*"))-SUM(SUMIFS('Accounting data'!G2:G65539,'Accounting data'!H2:H65539,"1227*",'Accounting data'!I2:I65539,{"7*","8*","9*"},'Accounting data'!J2:J65539,"26*",'Accounting data'!K2:K65539,"69*"))+SUM(SUMIFS('Accounting data'!G2:G65539,'Accounting data'!H2:H65539,"1228*",'Accounting data'!I2:I65539,{"7*","8*","9*"},'Accounting data'!J2:J65539,"26*",'Accounting data'!K2:K65539,"6*"))-SUM(SUMIFS('Accounting data'!G2:G65539,'Accounting data'!H2:H65539,"1228*",'Accounting data'!I2:I65539,{"7*","8*","9*"},'Accounting data'!J2:J65539,"26*",'Accounting data'!K2:K65539,"69*"))</f>
        <v>0</v>
      </c>
      <c r="N14" s="359">
        <f t="shared" si="0"/>
        <v>0</v>
      </c>
      <c r="O14" s="368"/>
    </row>
    <row r="15" spans="1:27" x14ac:dyDescent="0.25">
      <c r="A15" s="369" t="s">
        <v>217</v>
      </c>
      <c r="B15" s="370"/>
      <c r="C15" s="367" t="s">
        <v>35</v>
      </c>
      <c r="D15" s="357">
        <f t="array" ref="D15">SUM(SUMIFS('Accounting data'!G2:G65539,'Accounting data'!H2:H65539,"1310-1399-C*",'Accounting data'!I2:I65539,{"1*","2*","3*","4*","5*","6*"},'Accounting data'!J2:J65539,"27*",'Accounting data'!K2:K65539,"61*"))+SUM(SUMIFS('Accounting data'!G2:G65539,'Accounting data'!H2:H65539,"1227*",'Accounting data'!I2:I65539,{"1*","2*","3*","4*","5*","6*"},'Accounting data'!J2:J65539,"27*",'Accounting data'!K2:K65539,"61*"))+SUM(SUMIFS('Accounting data'!G2:G65539,'Accounting data'!H2:H65539,"1228*",'Accounting data'!I2:I65539,{"1*","2*","3*","4*","5*","6*"},'Accounting data'!J2:J65539,"27*",'Accounting data'!K2:K65539,"61*"))</f>
        <v>0</v>
      </c>
      <c r="E15" s="357">
        <f t="array" ref="E15">SUM(SUMIFS('Accounting data'!G2:G65539,'Accounting data'!H2:H65539,"1310-1399-C*",'Accounting data'!I2:I65539,{"1*","2*","3*","4*","5*","6*"},'Accounting data'!J2:J65539,"27*",'Accounting data'!K2:K65539,"62*"))+SUM(SUMIFS('Accounting data'!G2:G65539,'Accounting data'!H2:H65539,"1227*",'Accounting data'!I2:I65539,{"1*","2*","3*","4*","5*","6*"},'Accounting data'!J2:J65539,"27*",'Accounting data'!K2:K65539,"62*"))+SUM(SUMIFS('Accounting data'!G2:G65539,'Accounting data'!H2:H65539,"1228*",'Accounting data'!I2:I65539,{"1*","2*","3*","4*","5*","6*"},'Accounting data'!J2:J65539,"27*",'Accounting data'!K2:K65539,"62*"))</f>
        <v>0</v>
      </c>
      <c r="F15" s="357">
        <f t="array" ref="F15">SUM(SUMIFS('Accounting data'!G2:G65539,'Accounting data'!H2:H65539,"1310-1399-C*",'Accounting data'!I2:I65539,{"1*","2*","3*","4*","5*","6*"},'Accounting data'!J2:J65539,"27*",'Accounting data'!K2:K65539,"63*"))+SUM(SUMIFS('Accounting data'!G2:G65539,'Accounting data'!H2:H65539,"1227*",'Accounting data'!I2:I65539,{"1*","2*","3*","4*","5*","6*"},'Accounting data'!J2:J65539,"27*",'Accounting data'!K2:K65539,"63*"))+SUM(SUMIFS('Accounting data'!G2:G65539,'Accounting data'!H2:H65539,"1228*",'Accounting data'!I2:I65539,{"1*","2*","3*","4*","5*","6*"},'Accounting data'!J2:J65539,"27*",'Accounting data'!K2:K65539,"63*"))</f>
        <v>0</v>
      </c>
      <c r="G15" s="357">
        <f t="array" ref="G15">SUM(SUMIFS('Accounting data'!G2:G65539,'Accounting data'!H2:H65539,"1310-1399-C*",'Accounting data'!I2:I65539,{"1*","2*","3*","4*","5*","6*"},'Accounting data'!J2:J65539,"27*",'Accounting data'!K2:K65539,"66*"))+SUM(SUMIFS('Accounting data'!G2:G65539,'Accounting data'!H2:H65539,"1227*",'Accounting data'!I2:I65539,{"1*","2*","3*","4*","5*","6*"},'Accounting data'!J2:J65539,"27*",'Accounting data'!K2:K65539,"66*"))+SUM(SUMIFS('Accounting data'!G2:G65539,'Accounting data'!H2:H65539,"1228*",'Accounting data'!I2:I65539,{"1*","2*","3*","4*","5*","6*"},'Accounting data'!J2:J65539,"27*",'Accounting data'!K2:K65539,"66*"))</f>
        <v>0</v>
      </c>
      <c r="H15" s="357">
        <f t="array" ref="H15">SUM(SUMIFS('Accounting data'!G2:G65539,'Accounting data'!H2:H65539,"1310-1399-C*",'Accounting data'!I2:I65539,{"1*","2*","3*","4*","5*","6*"},'Accounting data'!J2:J65539,"27*",'Accounting data'!K2:K65539,"681*"))+SUM(SUMIFS('Accounting data'!G2:G65539,'Accounting data'!H2:H65539,"1227*",'Accounting data'!I2:I65539,{"1*","2*","3*","4*","5*","6*"},'Accounting data'!J2:J65539,"27*",'Accounting data'!K2:K65539,"681*"))+SUM(SUMIFS('Accounting data'!G2:G65539,'Accounting data'!H2:H65539,"1228*",'Accounting data'!I2:I65539,{"1*","2*","3*","4*","5*","6*"},'Accounting data'!J2:J65539,"27*",'Accounting data'!K2:K65539,"681*"))</f>
        <v>0</v>
      </c>
      <c r="I15" s="358"/>
      <c r="J15" s="357">
        <f t="array" ref="J15">SUM(SUMIFS('Accounting data'!G2:G65539,'Accounting data'!H2:H65539,"1310-1399-C*",'Accounting data'!I2:I65539,{"1*","2*","3*","4*","5*","6*"},'Accounting data'!J2:J65539,"27*",'Accounting data'!K2:K65539,"689*"))+SUM(SUMIFS('Accounting data'!G2:G65539,'Accounting data'!H2:H65539,"1227*",'Accounting data'!I2:I65539,{"1*","2*","3*","4*","5*","6*"},'Accounting data'!J2:J65539,"27*",'Accounting data'!K2:K65539,"689*"))+SUM(SUMIFS('Accounting data'!G2:G65539,'Accounting data'!H2:H65539,"1228*",'Accounting data'!I2:I65539,{"1*","2*","3*","4*","5*","6*"},'Accounting data'!J2:J65539,"27*",'Accounting data'!K2:K65539,"689*"))</f>
        <v>0</v>
      </c>
      <c r="K15" s="357">
        <f t="array" ref="K15">SUM(SUMIFS('Accounting data'!G2:G65539,'Accounting data'!H2:H65539,"1310-1399-C*",'Accounting data'!I2:I65539,{"1*","2*","3*","4*","5*","6*"},'Accounting data'!J2:J65539,"27*",'Accounting data'!K2:K65539,"683*"))+SUM(SUMIFS('Accounting data'!G2:G65539,'Accounting data'!H2:H65539,"1227*",'Accounting data'!I2:I65539,{"1*","2*","3*","4*","5*","6*"},'Accounting data'!J2:J65539,"27*",'Accounting data'!K2:K65539,"683*"))+SUM(SUMIFS('Accounting data'!G2:G65539,'Accounting data'!H2:H65539,"1228*",'Accounting data'!I2:I65539,{"1*","2*","3*","4*","5*","6*"},'Accounting data'!J2:J65539,"27*",'Accounting data'!K2:K65539,"683*"))</f>
        <v>0</v>
      </c>
      <c r="L15" s="34">
        <v>0</v>
      </c>
      <c r="M15" s="357">
        <f t="array" ref="M15">SUM(SUMIFS('Accounting data'!G2:G65539,'Accounting data'!H2:H65539,"1310-1399-C*",'Accounting data'!I2:I65539,{"7*","8*","9*"},'Accounting data'!J2:J65539,"27*",'Accounting data'!K2:K65539,"6*"))-SUM(SUMIFS('Accounting data'!G2:G65539,'Accounting data'!H2:H65539,"1310-1399-C*",'Accounting data'!I2:I65539,{"7*","8*","9*"},'Accounting data'!J2:J65539,"27*",'Accounting data'!K2:K65539,"69*"))+SUM(SUMIFS('Accounting data'!G2:G65539,'Accounting data'!H2:H65539,"1227*",'Accounting data'!I2:I65539,{"7*","8*","9*"},'Accounting data'!J2:J65539,"27*",'Accounting data'!K2:K65539,"6*"))-SUM(SUMIFS('Accounting data'!G2:G65539,'Accounting data'!H2:H65539,"1227*",'Accounting data'!I2:I65539,{"7*","8*","9*"},'Accounting data'!J2:J65539,"27*",'Accounting data'!K2:K65539,"69*"))+SUM(SUMIFS('Accounting data'!G2:G65539,'Accounting data'!H2:H65539,"1228*",'Accounting data'!I2:I65539,{"7*","8*","9*"},'Accounting data'!J2:J65539,"27*",'Accounting data'!K2:K65539,"6*"))-SUM(SUMIFS('Accounting data'!G2:G65539,'Accounting data'!H2:H65539,"1228*",'Accounting data'!I2:I65539,{"7*","8*","9*"},'Accounting data'!J2:J65539,"27*",'Accounting data'!K2:K65539,"69*"))</f>
        <v>0</v>
      </c>
      <c r="N15" s="359">
        <f t="shared" si="0"/>
        <v>0</v>
      </c>
      <c r="O15" s="368"/>
    </row>
    <row r="16" spans="1:27" x14ac:dyDescent="0.25">
      <c r="A16" s="369" t="s">
        <v>440</v>
      </c>
      <c r="B16" s="370"/>
      <c r="C16" s="367" t="s">
        <v>37</v>
      </c>
      <c r="D16" s="357">
        <f t="array" ref="D16">SUM(SUMIFS('Accounting data'!G2:G65539,'Accounting data'!H2:H65539,"1310-1399-C*",'Accounting data'!I2:I65539,{"1*","2*","3*","4*","5*","6*"},'Accounting data'!J2:J65539,"31*",'Accounting data'!K2:K65539,"61*"))+SUM(SUMIFS('Accounting data'!G2:G65539,'Accounting data'!H2:H65539,"1227*",'Accounting data'!I2:I65539,{"1*","2*","3*","4*","5*","6*"},'Accounting data'!J2:J65539,"31*",'Accounting data'!K2:K65539,"61*"))+SUM(SUMIFS('Accounting data'!G2:G65539,'Accounting data'!H2:H65539,"1228*",'Accounting data'!I2:I65539,{"1*","2*","3*","4*","5*","6*"},'Accounting data'!J2:J65539,"31*",'Accounting data'!K2:K65539,"61*"))</f>
        <v>0</v>
      </c>
      <c r="E16" s="357">
        <f t="array" ref="E16">SUM(SUMIFS('Accounting data'!G2:G65539,'Accounting data'!H2:H65539,"1310-1399-C*",'Accounting data'!I2:I65539,{"1*","2*","3*","4*","5*","6*"},'Accounting data'!J2:J65539,"31*",'Accounting data'!K2:K65539,"62*"))+SUM(SUMIFS('Accounting data'!G2:G65539,'Accounting data'!H2:H65539,"1227*",'Accounting data'!I2:I65539,{"1*","2*","3*","4*","5*","6*"},'Accounting data'!J2:J65539,"31*",'Accounting data'!K2:K65539,"62*"))+SUM(SUMIFS('Accounting data'!G2:G65539,'Accounting data'!H2:H65539,"1228*",'Accounting data'!I2:I65539,{"1*","2*","3*","4*","5*","6*"},'Accounting data'!J2:J65539,"31*",'Accounting data'!K2:K65539,"62*"))</f>
        <v>0</v>
      </c>
      <c r="F16" s="357">
        <f t="array" ref="F16">SUM(SUMIFS('Accounting data'!G2:G65539,'Accounting data'!H2:H65539,"1310-1399-C*",'Accounting data'!I2:I65539,{"1*","2*","3*","4*","5*","6*"},'Accounting data'!J2:J65539,"31*",'Accounting data'!K2:K65539,"63*"))+SUM(SUMIFS('Accounting data'!G2:G65539,'Accounting data'!H2:H65539,"1227*",'Accounting data'!I2:I65539,{"1*","2*","3*","4*","5*","6*"},'Accounting data'!J2:J65539,"31*",'Accounting data'!K2:K65539,"63*"))+SUM(SUMIFS('Accounting data'!G2:G65539,'Accounting data'!H2:H65539,"1228*",'Accounting data'!I2:I65539,{"1*","2*","3*","4*","5*","6*"},'Accounting data'!J2:J65539,"31*",'Accounting data'!K2:K65539,"63*"))</f>
        <v>0</v>
      </c>
      <c r="G16" s="357">
        <f t="array" ref="G16">SUM(SUMIFS('Accounting data'!G2:G65539,'Accounting data'!H2:H65539,"1310-1399-C*",'Accounting data'!I2:I65539,{"1*","2*","3*","4*","5*","6*"},'Accounting data'!J2:J65539,"31*",'Accounting data'!K2:K65539,"66*"))+SUM(SUMIFS('Accounting data'!G2:G65539,'Accounting data'!H2:H65539,"1227*",'Accounting data'!I2:I65539,{"1*","2*","3*","4*","5*","6*"},'Accounting data'!J2:J65539,"31*",'Accounting data'!K2:K65539,"66*"))+SUM(SUMIFS('Accounting data'!G2:G65539,'Accounting data'!H2:H65539,"1228*",'Accounting data'!I2:I65539,{"1*","2*","3*","4*","5*","6*"},'Accounting data'!J2:J65539,"31*",'Accounting data'!K2:K65539,"66*"))</f>
        <v>0</v>
      </c>
      <c r="H16" s="357">
        <f t="array" ref="H16">SUM(SUMIFS('Accounting data'!G2:G65539,'Accounting data'!H2:H65539,"1310-1399-C*",'Accounting data'!I2:I65539,{"1*","2*","3*","4*","5*","6*"},'Accounting data'!J2:J65539,"31*",'Accounting data'!K2:K65539,"681*"))+SUM(SUMIFS('Accounting data'!G2:G65539,'Accounting data'!H2:H65539,"1227*",'Accounting data'!I2:I65539,{"1*","2*","3*","4*","5*","6*"},'Accounting data'!J2:J65539,"31*",'Accounting data'!K2:K65539,"681*"))+SUM(SUMIFS('Accounting data'!G2:G65539,'Accounting data'!H2:H65539,"1228*",'Accounting data'!I2:I65539,{"1*","2*","3*","4*","5*","6*"},'Accounting data'!J2:J65539,"31*",'Accounting data'!K2:K65539,"681*"))</f>
        <v>0</v>
      </c>
      <c r="I16" s="358"/>
      <c r="J16" s="357">
        <f t="array" ref="J16">SUM(SUMIFS('Accounting data'!G2:G65539,'Accounting data'!H2:H65539,"1310-1399-C*",'Accounting data'!I2:I65539,{"1*","2*","3*","4*","5*","6*"},'Accounting data'!J2:J65539,"31*",'Accounting data'!K2:K65539,"689*"))+SUM(SUMIFS('Accounting data'!G2:G65539,'Accounting data'!H2:H65539,"1227*",'Accounting data'!I2:I65539,{"1*","2*","3*","4*","5*","6*"},'Accounting data'!J2:J65539,"31*",'Accounting data'!K2:K65539,"689*"))+SUM(SUMIFS('Accounting data'!G2:G65539,'Accounting data'!H2:H65539,"1228*",'Accounting data'!I2:I65539,{"1*","2*","3*","4*","5*","6*"},'Accounting data'!J2:J65539,"31*",'Accounting data'!K2:K65539,"689*"))</f>
        <v>0</v>
      </c>
      <c r="K16" s="357">
        <f t="array" ref="K16">SUM(SUMIFS('Accounting data'!G2:G65539,'Accounting data'!H2:H65539,"1310-1399-C*",'Accounting data'!I2:I65539,{"1*","2*","3*","4*","5*","6*"},'Accounting data'!J2:J65539,"31*",'Accounting data'!K2:K65539,"683*"))+SUM(SUMIFS('Accounting data'!G2:G65539,'Accounting data'!H2:H65539,"1227*",'Accounting data'!I2:I65539,{"1*","2*","3*","4*","5*","6*"},'Accounting data'!J2:J65539,"31*",'Accounting data'!K2:K65539,"683*"))+SUM(SUMIFS('Accounting data'!G2:G65539,'Accounting data'!H2:H65539,"1228*",'Accounting data'!I2:I65539,{"1*","2*","3*","4*","5*","6*"},'Accounting data'!J2:J65539,"31*",'Accounting data'!K2:K65539,"683*"))</f>
        <v>0</v>
      </c>
      <c r="L16" s="34">
        <v>0</v>
      </c>
      <c r="M16" s="357">
        <f t="array" ref="M16">SUM(SUMIFS('Accounting data'!G2:G65539,'Accounting data'!H2:H65539,"1310-1399-C*",'Accounting data'!I2:I65539,{"7*","8*","9*"},'Accounting data'!J2:J65539,"31*",'Accounting data'!K2:K65539,"6*"))-SUM(SUMIFS('Accounting data'!G2:G65539,'Accounting data'!H2:H65539,"1310-1399-C*",'Accounting data'!I2:I65539,{"7*","8*","9*"},'Accounting data'!J2:J65539,"31*",'Accounting data'!K2:K65539,"69*"))+SUM(SUMIFS('Accounting data'!G2:G65539,'Accounting data'!H2:H65539,"1227*",'Accounting data'!I2:I65539,{"7*","8*","9*"},'Accounting data'!J2:J65539,"31*",'Accounting data'!K2:K65539,"6*"))-SUM(SUMIFS('Accounting data'!G2:G65539,'Accounting data'!H2:H65539,"1227*",'Accounting data'!I2:I65539,{"7*","8*","9*"},'Accounting data'!J2:J65539,"31*",'Accounting data'!K2:K65539,"69*"))+SUM(SUMIFS('Accounting data'!G2:G65539,'Accounting data'!H2:H65539,"1228*",'Accounting data'!I2:I65539,{"7*","8*","9*"},'Accounting data'!J2:J65539,"31*",'Accounting data'!K2:K65539,"6*"))-SUM(SUMIFS('Accounting data'!G2:G65539,'Accounting data'!H2:H65539,"1228*",'Accounting data'!I2:I65539,{"7*","8*","9*"},'Accounting data'!J2:J65539,"31*",'Accounting data'!K2:K65539,"69*"))</f>
        <v>0</v>
      </c>
      <c r="N16" s="359">
        <f t="shared" si="0"/>
        <v>0</v>
      </c>
      <c r="O16" s="368"/>
    </row>
    <row r="17" spans="1:16" x14ac:dyDescent="0.25">
      <c r="A17" s="369" t="s">
        <v>441</v>
      </c>
      <c r="B17" s="370"/>
      <c r="C17" s="367" t="s">
        <v>39</v>
      </c>
      <c r="D17" s="357">
        <f t="array" ref="D17">SUM(SUMIFS('Accounting data'!G2:G65539,'Accounting data'!H2:H65539,"1310-1399-C*",'Accounting data'!I2:I65539,{"1*","2*","3*","4*","5*","6*"},'Accounting data'!J2:J65539,"34*",'Accounting data'!K2:K65539,"61*"))+SUM(SUMIFS('Accounting data'!G2:G65539,'Accounting data'!H2:H65539,"1227*",'Accounting data'!I2:I65539,{"1*","2*","3*","4*","5*","6*"},'Accounting data'!J2:J65539,"34*",'Accounting data'!K2:K65539,"61*"))+SUM(SUMIFS('Accounting data'!G2:G65539,'Accounting data'!H2:H65539,"1228*",'Accounting data'!I2:I65539,{"1*","2*","3*","4*","5*","6*"},'Accounting data'!J2:J65539,"34*",'Accounting data'!K2:K65539,"61*"))</f>
        <v>0</v>
      </c>
      <c r="E17" s="357">
        <f t="array" ref="E17">SUM(SUMIFS('Accounting data'!G2:G65539,'Accounting data'!H2:H65539,"1310-1399-C*",'Accounting data'!I2:I65539,{"1*","2*","3*","4*","5*","6*"},'Accounting data'!J2:J65539,"34*",'Accounting data'!K2:K65539,"62*"))+SUM(SUMIFS('Accounting data'!G2:G65539,'Accounting data'!H2:H65539,"1227*",'Accounting data'!I2:I65539,{"1*","2*","3*","4*","5*","6*"},'Accounting data'!J2:J65539,"34*",'Accounting data'!K2:K65539,"62*"))+SUM(SUMIFS('Accounting data'!G2:G65539,'Accounting data'!H2:H65539,"1228*",'Accounting data'!I2:I65539,{"1*","2*","3*","4*","5*","6*"},'Accounting data'!J2:J65539,"34*",'Accounting data'!K2:K65539,"62*"))</f>
        <v>0</v>
      </c>
      <c r="F17" s="357">
        <f t="array" ref="F17">SUM(SUMIFS('Accounting data'!G2:G65539,'Accounting data'!H2:H65539,"1310-1399-C*",'Accounting data'!I2:I65539,{"1*","2*","3*","4*","5*","6*"},'Accounting data'!J2:J65539,"34*",'Accounting data'!K2:K65539,"63*"))+SUM(SUMIFS('Accounting data'!G2:G65539,'Accounting data'!H2:H65539,"1227*",'Accounting data'!I2:I65539,{"1*","2*","3*","4*","5*","6*"},'Accounting data'!J2:J65539,"34*",'Accounting data'!K2:K65539,"63*"))+SUM(SUMIFS('Accounting data'!G2:G65539,'Accounting data'!H2:H65539,"1228*",'Accounting data'!I2:I65539,{"1*","2*","3*","4*","5*","6*"},'Accounting data'!J2:J65539,"34*",'Accounting data'!K2:K65539,"63*"))</f>
        <v>0</v>
      </c>
      <c r="G17" s="357">
        <f t="array" ref="G17">SUM(SUMIFS('Accounting data'!G2:G65539,'Accounting data'!H2:H65539,"1310-1399-C*",'Accounting data'!I2:I65539,{"1*","2*","3*","4*","5*","6*"},'Accounting data'!J2:J65539,"34*",'Accounting data'!K2:K65539,"66*"))+SUM(SUMIFS('Accounting data'!G2:G65539,'Accounting data'!H2:H65539,"1227*",'Accounting data'!I2:I65539,{"1*","2*","3*","4*","5*","6*"},'Accounting data'!J2:J65539,"34*",'Accounting data'!K2:K65539,"66*"))+SUM(SUMIFS('Accounting data'!G2:G65539,'Accounting data'!H2:H65539,"1228*",'Accounting data'!I2:I65539,{"1*","2*","3*","4*","5*","6*"},'Accounting data'!J2:J65539,"34*",'Accounting data'!K2:K65539,"66*"))</f>
        <v>0</v>
      </c>
      <c r="H17" s="357">
        <f t="array" ref="H17">SUM(SUMIFS('Accounting data'!G2:G65539,'Accounting data'!H2:H65539,"1310-1399-C*",'Accounting data'!I2:I65539,{"1*","2*","3*","4*","5*","6*"},'Accounting data'!J2:J65539,"34*",'Accounting data'!K2:K65539,"681*"))+SUM(SUMIFS('Accounting data'!G2:G65539,'Accounting data'!H2:H65539,"1227*",'Accounting data'!I2:I65539,{"1*","2*","3*","4*","5*","6*"},'Accounting data'!J2:J65539,"34*",'Accounting data'!K2:K65539,"681*"))+SUM(SUMIFS('Accounting data'!G2:G65539,'Accounting data'!H2:H65539,"1228*",'Accounting data'!I2:I65539,{"1*","2*","3*","4*","5*","6*"},'Accounting data'!J2:J65539,"34*",'Accounting data'!K2:K65539,"681*"))</f>
        <v>0</v>
      </c>
      <c r="I17" s="358"/>
      <c r="J17" s="357">
        <f t="array" ref="J17">SUM(SUMIFS('Accounting data'!G2:G65539,'Accounting data'!H2:H65539,"1310-1399-C*",'Accounting data'!I2:I65539,{"1*","2*","3*","4*","5*","6*"},'Accounting data'!J2:J65539,"34*",'Accounting data'!K2:K65539,"689*"))+SUM(SUMIFS('Accounting data'!G2:G65539,'Accounting data'!H2:H65539,"1227*",'Accounting data'!I2:I65539,{"1*","2*","3*","4*","5*","6*"},'Accounting data'!J2:J65539,"34*",'Accounting data'!K2:K65539,"689*"))+SUM(SUMIFS('Accounting data'!G2:G65539,'Accounting data'!H2:H65539,"1228*",'Accounting data'!I2:I65539,{"1*","2*","3*","4*","5*","6*"},'Accounting data'!J2:J65539,"34*",'Accounting data'!K2:K65539,"689*"))</f>
        <v>0</v>
      </c>
      <c r="K17" s="357">
        <f t="array" ref="K17">SUM(SUMIFS('Accounting data'!G2:G65539,'Accounting data'!H2:H65539,"1310-1399-C*",'Accounting data'!I2:I65539,{"1*","2*","3*","4*","5*","6*"},'Accounting data'!J2:J65539,"34*",'Accounting data'!K2:K65539,"683*"))+SUM(SUMIFS('Accounting data'!G2:G65539,'Accounting data'!H2:H65539,"1227*",'Accounting data'!I2:I65539,{"1*","2*","3*","4*","5*","6*"},'Accounting data'!J2:J65539,"34*",'Accounting data'!K2:K65539,"683*"))+SUM(SUMIFS('Accounting data'!G2:G65539,'Accounting data'!H2:H65539,"1228*",'Accounting data'!I2:I65539,{"1*","2*","3*","4*","5*","6*"},'Accounting data'!J2:J65539,"34*",'Accounting data'!K2:K65539,"683*"))</f>
        <v>0</v>
      </c>
      <c r="L17" s="34">
        <v>0</v>
      </c>
      <c r="M17" s="357">
        <f t="array" ref="M17">SUM(SUMIFS('Accounting data'!G2:G65539,'Accounting data'!H2:H65539,"1310-1399-C*",'Accounting data'!I2:I65539,{"7*","8*","9*"},'Accounting data'!J2:J65539,"34*",'Accounting data'!K2:K65539,"6*"))-SUM(SUMIFS('Accounting data'!G2:G65539,'Accounting data'!H2:H65539,"1310-1399-C*",'Accounting data'!I2:I65539,{"7*","8*","9*"},'Accounting data'!J2:J65539,"34*",'Accounting data'!K2:K65539,"69*"))+SUM(SUMIFS('Accounting data'!G2:G65539,'Accounting data'!H2:H65539,"1227*",'Accounting data'!I2:I65539,{"7*","8*","9*"},'Accounting data'!J2:J65539,"34*",'Accounting data'!K2:K65539,"6*"))-SUM(SUMIFS('Accounting data'!G2:G65539,'Accounting data'!H2:H65539,"1227*",'Accounting data'!I2:I65539,{"7*","8*","9*"},'Accounting data'!J2:J65539,"34*",'Accounting data'!K2:K65539,"69*"))+SUM(SUMIFS('Accounting data'!G2:G65539,'Accounting data'!H2:H65539,"1228*",'Accounting data'!I2:I65539,{"7*","8*","9*"},'Accounting data'!J2:J65539,"34*",'Accounting data'!K2:K65539,"6*"))-SUM(SUMIFS('Accounting data'!G2:G65539,'Accounting data'!H2:H65539,"1228*",'Accounting data'!I2:I65539,{"7*","8*","9*"},'Accounting data'!J2:J65539,"34*",'Accounting data'!K2:K65539,"69*"))</f>
        <v>0</v>
      </c>
      <c r="N17" s="359">
        <f t="shared" si="0"/>
        <v>0</v>
      </c>
      <c r="O17" s="368"/>
    </row>
    <row r="18" spans="1:16" x14ac:dyDescent="0.25">
      <c r="A18" s="371" t="s">
        <v>97</v>
      </c>
      <c r="B18" s="372"/>
      <c r="C18" s="373" t="s">
        <v>41</v>
      </c>
      <c r="D18" s="357">
        <f t="array" ref="D18">SUM(SUMIFS('Accounting data'!G2:G65539,'Accounting data'!H2:H65539,"1310-1399-C*",'Accounting data'!I2:I65539,{"1*","2*","3*","4*","5*","6*"},'Accounting data'!K2:K65539,"61*"))+SUM(SUMIFS('Accounting data'!G2:G65539,'Accounting data'!H2:H65539,"1227*",'Accounting data'!I2:I65539,{"1*","2*","3*","4*","5*","6*"},'Accounting data'!K2:K65539,"61*"))+SUM(SUMIFS('Accounting data'!G2:G65539,'Accounting data'!H2:H65539,"1228*",'Accounting data'!I2:I65539,{"1*","2*","3*","4*","5*","6*"},'Accounting data'!K2:K65539,"61*"))-SUM(D10:D17)</f>
        <v>0</v>
      </c>
      <c r="E18" s="357">
        <f t="array" ref="E18">SUM(SUMIFS('Accounting data'!G2:G65539,'Accounting data'!H2:H65539,"1310-1399-C*",'Accounting data'!I2:I65539,{"1*","2*","3*","4*","5*","6*"},'Accounting data'!K2:K65539,"62*"))+SUM(SUMIFS('Accounting data'!G2:G65539,'Accounting data'!H2:H65539,"1227*",'Accounting data'!I2:I65539,{"1*","2*","3*","4*","5*","6*"},'Accounting data'!K2:K65539,"62*"))+SUM(SUMIFS('Accounting data'!G2:G65539,'Accounting data'!H2:H65539,"1228*",'Accounting data'!I2:I65539,{"1*","2*","3*","4*","5*","6*"},'Accounting data'!K2:K65539,"62*"))-SUM(E10:E17)</f>
        <v>0</v>
      </c>
      <c r="F18" s="357">
        <f t="array" ref="F18">SUM(SUMIFS('Accounting data'!G2:G65539,'Accounting data'!H2:H65539,"1310-1399-C*",'Accounting data'!I2:I65539,{"1*","2*","3*","4*","5*","6*"},'Accounting data'!K2:K65539,"63*"))+SUM(SUMIFS('Accounting data'!G2:G65539,'Accounting data'!H2:H65539,"1227*",'Accounting data'!I2:I65539,{"1*","2*","3*","4*","5*","6*"},'Accounting data'!K2:K65539,"63*"))+SUM(SUMIFS('Accounting data'!G2:G65539,'Accounting data'!H2:H65539,"1228*",'Accounting data'!I2:I65539,{"1*","2*","3*","4*","5*","6*"},'Accounting data'!K2:K65539,"63*"))-SUM(F10:F17)</f>
        <v>0</v>
      </c>
      <c r="G18" s="357">
        <f t="array" ref="G18">SUM(SUMIFS('Accounting data'!G2:G65539,'Accounting data'!H2:H65539,"1310-1399-C*",'Accounting data'!I2:I65539,{"1*","2*","3*","4*","5*","6*"},'Accounting data'!K2:K65539,"66*"))+SUM(SUMIFS('Accounting data'!G2:G65539,'Accounting data'!H2:H65539,"1227*",'Accounting data'!I2:I65539,{"1*","2*","3*","4*","5*","6*"},'Accounting data'!K2:K65539,"66*"))+SUM(SUMIFS('Accounting data'!G2:G65539,'Accounting data'!H2:H65539,"1228*",'Accounting data'!I2:I65539,{"1*","2*","3*","4*","5*","6*"},'Accounting data'!K2:K65539,"66*"))-SUM(G10:G17)</f>
        <v>0</v>
      </c>
      <c r="H18" s="357">
        <f t="array" ref="H18">SUM(SUMIFS('Accounting data'!G2:G65539,'Accounting data'!H2:H65539,"1310-1399-C*",'Accounting data'!I2:I65539,{"1*","2*","3*","4*","5*","6*"},'Accounting data'!K2:K65539,"681*"))+SUM(SUMIFS('Accounting data'!G2:G65539,'Accounting data'!H2:H65539,"1227*",'Accounting data'!I2:I65539,{"1*","2*","3*","4*","5*","6*"},'Accounting data'!K2:K65539,"681*"))+SUM(SUMIFS('Accounting data'!G2:G65539,'Accounting data'!H2:H65539,"1228*",'Accounting data'!I2:I65539,{"1*","2*","3*","4*","5*","6*"},'Accounting data'!K2:K65539,"681*"))-SUM(H10:H17)</f>
        <v>0</v>
      </c>
      <c r="I18" s="358"/>
      <c r="J18" s="357">
        <f t="array" ref="J18">SUM(SUMIFS('Accounting data'!G2:G65539,'Accounting data'!H2:H65539,"1310-1399-C*",'Accounting data'!I2:I65539,{"1*","2*","3*","4*","5*","6*"},'Accounting data'!K2:K65539,"689*"))+SUM(SUMIFS('Accounting data'!G2:G65539,'Accounting data'!H2:H65539,"1227*",'Accounting data'!I2:I65539,{"1*","2*","3*","4*","5*","6*"},'Accounting data'!K2:K65539,"689*"))+SUM(SUMIFS('Accounting data'!G2:G65539,'Accounting data'!H2:H65539,"1228*",'Accounting data'!I2:I65539,{"1*","2*","3*","4*","5*","6*"},'Accounting data'!K2:K65539,"689*"))-SUM(J10:J17)</f>
        <v>0</v>
      </c>
      <c r="K18" s="357">
        <f t="array" ref="K18">SUM(SUMIFS('Accounting data'!G2:G65539,'Accounting data'!H2:H65539,"1310-1399-C*",'Accounting data'!I2:I65539,{"1*","2*","3*","4*","5*","6*"},'Accounting data'!K2:K65539,"683*"))+SUM(SUMIFS('Accounting data'!G2:G65539,'Accounting data'!H2:H65539,"1227*",'Accounting data'!I2:I65539,{"1*","2*","3*","4*","5*","6*"},'Accounting data'!K2:K65539,"683*"))+SUM(SUMIFS('Accounting data'!G2:G65539,'Accounting data'!H2:H65539,"1228*",'Accounting data'!I2:I65539,{"1*","2*","3*","4*","5*","6*"},'Accounting data'!K2:K65539,"683*"))-SUM(K10:K17)</f>
        <v>0</v>
      </c>
      <c r="L18" s="34">
        <v>0</v>
      </c>
      <c r="M18" s="357">
        <f t="array" ref="M18">SUM(SUMIFS('Accounting data'!G2:G65539,'Accounting data'!H2:H65539,"1310-1399-C*",'Accounting data'!I2:I65539,{"7*","8*","9*"},'Accounting data'!K2:K65539,"6*"))-SUM(SUMIFS('Accounting data'!G2:G65539,'Accounting data'!H2:H65539,"1310-1399-C*",'Accounting data'!I2:I65539,{"7*","8*","9*"},'Accounting data'!K2:K65539,"69*"))+SUM(SUMIFS('Accounting data'!G2:G65539,'Accounting data'!H2:H65539,"1227*",'Accounting data'!I2:I65539,{"7*","8*","9*"},'Accounting data'!K2:K65539,"6*"))-SUM(SUMIFS('Accounting data'!G2:G65539,'Accounting data'!H2:H65539,"1227*",'Accounting data'!I2:I65539,{"7*","8*","9*"},'Accounting data'!K2:K65539,"69*"))+SUM(SUMIFS('Accounting data'!G2:G65539,'Accounting data'!H2:H65539,"1228*",'Accounting data'!I2:I65539,{"7*","8*","9*"},'Accounting data'!K2:K65539,"6*"))-SUM(SUMIFS('Accounting data'!G2:G65539,'Accounting data'!H2:H65539,"1228*",'Accounting data'!I2:I65539,{"7*","8*","9*"},'Accounting data'!K2:K65539,"69*"))-SUM(M10:M17)</f>
        <v>0</v>
      </c>
      <c r="N18" s="359">
        <f t="shared" si="0"/>
        <v>0</v>
      </c>
      <c r="O18" s="368"/>
    </row>
    <row r="19" spans="1:16" x14ac:dyDescent="0.25">
      <c r="A19" s="374" t="s">
        <v>442</v>
      </c>
      <c r="B19" s="375"/>
      <c r="C19" s="376" t="s">
        <v>43</v>
      </c>
      <c r="D19" s="377">
        <f>SUM(D10:D18)</f>
        <v>0</v>
      </c>
      <c r="E19" s="377">
        <f t="shared" ref="E19:M19" si="1">SUM(E10:E18)</f>
        <v>0</v>
      </c>
      <c r="F19" s="377">
        <f t="shared" si="1"/>
        <v>0</v>
      </c>
      <c r="G19" s="377">
        <f t="shared" si="1"/>
        <v>0</v>
      </c>
      <c r="H19" s="377">
        <f t="shared" si="1"/>
        <v>0</v>
      </c>
      <c r="I19" s="377">
        <f t="shared" si="1"/>
        <v>0</v>
      </c>
      <c r="J19" s="377">
        <f t="shared" si="1"/>
        <v>0</v>
      </c>
      <c r="K19" s="377">
        <f t="shared" si="1"/>
        <v>0</v>
      </c>
      <c r="L19" s="377">
        <f t="shared" si="1"/>
        <v>0</v>
      </c>
      <c r="M19" s="377">
        <f t="shared" si="1"/>
        <v>0</v>
      </c>
      <c r="N19" s="359">
        <f t="shared" si="0"/>
        <v>0</v>
      </c>
      <c r="O19" s="368"/>
    </row>
    <row r="20" spans="1:16" x14ac:dyDescent="0.25">
      <c r="H20" s="328"/>
      <c r="I20" s="328"/>
      <c r="J20" s="328"/>
      <c r="K20" s="328"/>
      <c r="L20" s="378"/>
    </row>
    <row r="21" spans="1:16" ht="34.5" customHeight="1" x14ac:dyDescent="0.25">
      <c r="A21" s="829" t="s">
        <v>443</v>
      </c>
      <c r="B21" s="830"/>
      <c r="C21" s="831"/>
      <c r="D21" s="680" t="s">
        <v>444</v>
      </c>
      <c r="E21" s="35" t="s">
        <v>445</v>
      </c>
      <c r="G21" s="379" t="s">
        <v>446</v>
      </c>
      <c r="H21" s="380"/>
      <c r="I21" s="380"/>
      <c r="J21" s="381"/>
      <c r="L21" s="382" t="s">
        <v>447</v>
      </c>
      <c r="M21" s="383"/>
      <c r="N21" s="383"/>
      <c r="O21" s="384"/>
    </row>
    <row r="22" spans="1:16" x14ac:dyDescent="0.25">
      <c r="A22" s="385" t="s">
        <v>448</v>
      </c>
      <c r="B22" s="386"/>
      <c r="C22" s="387"/>
      <c r="D22" s="36">
        <v>0</v>
      </c>
      <c r="E22" s="37">
        <v>0</v>
      </c>
      <c r="G22" s="388" t="s">
        <v>449</v>
      </c>
      <c r="H22" s="389"/>
      <c r="I22" s="390"/>
      <c r="J22" s="36">
        <v>0</v>
      </c>
      <c r="L22" s="388" t="s">
        <v>450</v>
      </c>
      <c r="M22" s="389"/>
      <c r="N22" s="390"/>
      <c r="O22" s="38">
        <f>ROUND(SUM(SUMIFS('Accounting data'!G2:G65539,'Accounting data'!H2:H65539,"1310-1399-C*",'Accounting data'!K2:K65539,"69*")),0)+ROUND(SUM(SUMIFS('Accounting data'!G2:G65539,'Accounting data'!H2:H65539,"1227*",'Accounting data'!K2:K65539,"69*")),0)+ROUND(SUM(SUMIFS('Accounting data'!G2:G65539,'Accounting data'!H2:H65539,"1228*",'Accounting data'!K2:K65539,"69*")),0)</f>
        <v>0</v>
      </c>
    </row>
    <row r="23" spans="1:16" x14ac:dyDescent="0.25">
      <c r="A23" s="388" t="s">
        <v>451</v>
      </c>
      <c r="B23" s="389"/>
      <c r="C23" s="390"/>
      <c r="D23" s="36">
        <v>0</v>
      </c>
      <c r="E23" s="47">
        <v>0</v>
      </c>
      <c r="G23" s="391" t="s">
        <v>452</v>
      </c>
      <c r="H23" s="392"/>
      <c r="I23" s="390"/>
      <c r="J23" s="36">
        <v>0</v>
      </c>
    </row>
    <row r="24" spans="1:16" x14ac:dyDescent="0.25">
      <c r="A24" s="388" t="s">
        <v>453</v>
      </c>
      <c r="B24" s="389"/>
      <c r="C24" s="393"/>
      <c r="D24" s="36">
        <v>0</v>
      </c>
      <c r="E24" s="587">
        <v>0</v>
      </c>
      <c r="G24" s="627" t="s">
        <v>454</v>
      </c>
      <c r="H24" s="628"/>
      <c r="I24" s="390"/>
      <c r="J24" s="36">
        <v>0</v>
      </c>
      <c r="L24" s="379" t="s">
        <v>455</v>
      </c>
      <c r="M24" s="380"/>
      <c r="N24" s="380"/>
      <c r="O24" s="381"/>
    </row>
    <row r="25" spans="1:16" x14ac:dyDescent="0.25">
      <c r="A25" s="388" t="s">
        <v>456</v>
      </c>
      <c r="B25" s="389"/>
      <c r="C25" s="393"/>
      <c r="D25" s="36">
        <v>0</v>
      </c>
      <c r="E25" s="587">
        <v>0</v>
      </c>
      <c r="G25" s="627" t="s">
        <v>457</v>
      </c>
      <c r="H25" s="628"/>
      <c r="I25" s="390"/>
      <c r="J25" s="36">
        <v>0</v>
      </c>
      <c r="L25" s="395" t="s">
        <v>458</v>
      </c>
      <c r="M25" s="396"/>
      <c r="N25" s="393"/>
      <c r="O25" s="36">
        <v>0</v>
      </c>
    </row>
    <row r="26" spans="1:16" x14ac:dyDescent="0.25">
      <c r="A26" s="388" t="s">
        <v>459</v>
      </c>
      <c r="B26" s="389"/>
      <c r="C26" s="393"/>
      <c r="D26" s="36">
        <v>0</v>
      </c>
      <c r="E26" s="587">
        <v>0</v>
      </c>
      <c r="G26" s="627" t="s">
        <v>460</v>
      </c>
      <c r="H26" s="628"/>
      <c r="I26" s="390"/>
      <c r="J26" s="36">
        <v>0</v>
      </c>
      <c r="L26" s="395" t="s">
        <v>461</v>
      </c>
      <c r="M26" s="396"/>
      <c r="N26" s="393"/>
      <c r="O26" s="36">
        <v>0</v>
      </c>
    </row>
    <row r="27" spans="1:16" x14ac:dyDescent="0.25">
      <c r="A27" s="397" t="s">
        <v>462</v>
      </c>
      <c r="B27" s="398"/>
      <c r="C27" s="399"/>
      <c r="D27" s="36">
        <v>0</v>
      </c>
      <c r="E27" s="37">
        <v>0</v>
      </c>
      <c r="L27" s="395" t="s">
        <v>463</v>
      </c>
      <c r="M27" s="396"/>
      <c r="N27" s="393"/>
      <c r="O27" s="36">
        <v>0</v>
      </c>
    </row>
    <row r="28" spans="1:16" x14ac:dyDescent="0.25">
      <c r="A28" s="400" t="s">
        <v>464</v>
      </c>
      <c r="B28" s="401"/>
      <c r="C28" s="402"/>
      <c r="D28" s="39">
        <v>0</v>
      </c>
      <c r="E28" s="394">
        <f>D28</f>
        <v>0</v>
      </c>
      <c r="L28" s="329"/>
      <c r="M28" s="329"/>
      <c r="N28" s="329"/>
      <c r="O28" s="40"/>
    </row>
    <row r="29" spans="1:16" x14ac:dyDescent="0.25">
      <c r="A29" s="832"/>
      <c r="B29" s="832"/>
      <c r="C29" s="832"/>
      <c r="D29" s="403"/>
    </row>
    <row r="30" spans="1:16" ht="15" customHeight="1" x14ac:dyDescent="0.25">
      <c r="A30" s="338"/>
      <c r="B30" s="338"/>
      <c r="C30" s="338"/>
      <c r="D30" s="338"/>
      <c r="G30" s="379" t="s">
        <v>465</v>
      </c>
      <c r="H30" s="380"/>
      <c r="I30" s="380"/>
      <c r="J30" s="381"/>
      <c r="L30" s="823" t="str">
        <f>IF(OR(D19&lt;0,E19&lt;0,F19&lt;0,G19&lt;0,H19&lt;0,J19&lt;0,K19&lt;0,L19&lt;0,M19&lt;0,N19&lt;0),"Line 9 in the current expenses table should not contain negative amounts. Click the instruction link in cell A18 for more information.","")</f>
        <v/>
      </c>
      <c r="M30" s="823" t="str">
        <f t="shared" ref="M30:P32" si="2">IF(OR(E19&lt;0,F19&lt;0,G19&lt;0,H19&lt;0,I19&lt;0,K19&lt;0,L19&lt;0,M19&lt;0,N19&lt;0,O19&lt;0),"Table A, line 9 should not contain negative amounts. Click the the instruction link in cell A18 for more information.","")</f>
        <v/>
      </c>
      <c r="N30" s="823" t="str">
        <f t="shared" si="2"/>
        <v/>
      </c>
      <c r="O30" s="823" t="str">
        <f t="shared" si="2"/>
        <v/>
      </c>
      <c r="P30" s="823" t="str">
        <f t="shared" si="2"/>
        <v/>
      </c>
    </row>
    <row r="31" spans="1:16" ht="15" customHeight="1" x14ac:dyDescent="0.25">
      <c r="E31" s="404"/>
      <c r="G31" s="405" t="s">
        <v>466</v>
      </c>
      <c r="H31" s="389"/>
      <c r="I31" s="389"/>
      <c r="J31" s="406">
        <f>ROUND(SUMIFS('Accounting data'!G2:G65539,'Accounting data'!H2:H65539,"1310-1399-C*",'Accounting data'!K2:K65539,"685*"),0)</f>
        <v>0</v>
      </c>
      <c r="L31" s="823" t="str">
        <f>IF(OR(D20&lt;0,E20&lt;0,F20&lt;0,G20&lt;0,H20&lt;0,J20&lt;0,K20&lt;0,L20&lt;0,M20&lt;0,N20&lt;0),"Table A, line 9 should not contain negative amounts. Click the the instruction link in cell A18 for more information.","")</f>
        <v/>
      </c>
      <c r="M31" s="823" t="str">
        <f t="shared" si="2"/>
        <v/>
      </c>
      <c r="N31" s="823" t="str">
        <f t="shared" si="2"/>
        <v/>
      </c>
      <c r="O31" s="823" t="str">
        <f t="shared" si="2"/>
        <v/>
      </c>
      <c r="P31" s="823" t="str">
        <f t="shared" si="2"/>
        <v/>
      </c>
    </row>
    <row r="32" spans="1:16" ht="15" customHeight="1" x14ac:dyDescent="0.25">
      <c r="E32" s="360"/>
      <c r="G32" s="405" t="s">
        <v>467</v>
      </c>
      <c r="H32" s="389"/>
      <c r="I32" s="389"/>
      <c r="J32" s="36">
        <v>0</v>
      </c>
      <c r="L32" s="823" t="str">
        <f>IF(OR(D21&lt;0,E21&lt;0,F21&lt;0,G21&lt;0,H21&lt;0,J21&lt;0,K21&lt;0,L21&lt;0,M21&lt;0,N21&lt;0),"Table A, line 9 should not contain negative amounts. Click the the instruction link in cell A18 for more information.","")</f>
        <v/>
      </c>
      <c r="M32" s="823" t="str">
        <f t="shared" si="2"/>
        <v/>
      </c>
      <c r="N32" s="823" t="str">
        <f t="shared" si="2"/>
        <v/>
      </c>
      <c r="O32" s="823" t="str">
        <f t="shared" si="2"/>
        <v/>
      </c>
      <c r="P32" s="823" t="str">
        <f t="shared" si="2"/>
        <v/>
      </c>
    </row>
    <row r="33" spans="1:28" ht="12.75" customHeight="1" x14ac:dyDescent="0.25">
      <c r="E33" s="407"/>
      <c r="K33" s="408"/>
      <c r="L33" s="41"/>
      <c r="M33" s="41"/>
      <c r="N33" s="42"/>
      <c r="O33" s="41"/>
      <c r="AB33" s="335" t="s">
        <v>468</v>
      </c>
    </row>
    <row r="34" spans="1:28" ht="11.25" customHeight="1" x14ac:dyDescent="0.25">
      <c r="E34" s="409"/>
      <c r="G34" s="329"/>
      <c r="M34" s="410"/>
      <c r="N34" s="411"/>
      <c r="O34" s="411"/>
    </row>
    <row r="35" spans="1:28" ht="37.5" customHeight="1" x14ac:dyDescent="0.25">
      <c r="A35" s="836" t="s">
        <v>469</v>
      </c>
      <c r="B35" s="837"/>
      <c r="C35" s="838"/>
      <c r="D35" s="809" t="s">
        <v>470</v>
      </c>
      <c r="E35" s="809" t="s">
        <v>1201</v>
      </c>
      <c r="F35" s="809" t="s">
        <v>1202</v>
      </c>
      <c r="G35" s="809" t="s">
        <v>471</v>
      </c>
      <c r="J35" s="379" t="s">
        <v>472</v>
      </c>
      <c r="K35" s="59"/>
      <c r="L35" s="59"/>
      <c r="M35" s="59"/>
      <c r="N35" s="60"/>
      <c r="R35" s="328"/>
      <c r="V35" s="334"/>
    </row>
    <row r="36" spans="1:28" ht="25.5" customHeight="1" x14ac:dyDescent="0.25">
      <c r="A36" s="839"/>
      <c r="B36" s="840"/>
      <c r="C36" s="841"/>
      <c r="D36" s="810"/>
      <c r="E36" s="810"/>
      <c r="F36" s="810"/>
      <c r="G36" s="810"/>
      <c r="J36" s="842" t="s">
        <v>473</v>
      </c>
      <c r="K36" s="843"/>
      <c r="L36" s="843"/>
      <c r="M36" s="844"/>
      <c r="N36" s="416">
        <v>0</v>
      </c>
      <c r="Q36" s="43"/>
      <c r="R36" s="44"/>
      <c r="V36" s="334"/>
    </row>
    <row r="37" spans="1:28" ht="12.75" customHeight="1" x14ac:dyDescent="0.25">
      <c r="A37" s="45" t="s">
        <v>474</v>
      </c>
      <c r="B37" s="46"/>
      <c r="C37" s="46"/>
      <c r="D37" s="47">
        <v>50000</v>
      </c>
      <c r="E37" s="47">
        <v>50000</v>
      </c>
      <c r="F37" s="358"/>
      <c r="G37" s="358"/>
      <c r="J37" s="842" t="s">
        <v>475</v>
      </c>
      <c r="K37" s="843"/>
      <c r="L37" s="843"/>
      <c r="M37" s="844"/>
      <c r="N37" s="416">
        <v>0</v>
      </c>
      <c r="R37" s="328"/>
      <c r="V37" s="334"/>
    </row>
    <row r="38" spans="1:28" ht="12.75" customHeight="1" x14ac:dyDescent="0.25">
      <c r="A38" s="45" t="s">
        <v>476</v>
      </c>
      <c r="B38" s="46"/>
      <c r="C38" s="46"/>
      <c r="D38" s="47">
        <v>150000</v>
      </c>
      <c r="E38" s="47">
        <f>146235+3765</f>
        <v>150000</v>
      </c>
      <c r="F38" s="47">
        <v>0</v>
      </c>
      <c r="G38" s="377">
        <f>ROUND(D38-E38-F38,0)</f>
        <v>0</v>
      </c>
      <c r="J38" s="842" t="s">
        <v>477</v>
      </c>
      <c r="K38" s="843"/>
      <c r="L38" s="843"/>
      <c r="M38" s="844"/>
      <c r="N38" s="416">
        <v>0</v>
      </c>
      <c r="R38" s="328"/>
      <c r="V38" s="334"/>
    </row>
    <row r="39" spans="1:28" ht="12.75" customHeight="1" x14ac:dyDescent="0.25">
      <c r="A39" s="45" t="s">
        <v>478</v>
      </c>
      <c r="B39" s="46"/>
      <c r="C39" s="46"/>
      <c r="D39" s="47">
        <v>3420</v>
      </c>
      <c r="E39" s="47">
        <v>3420</v>
      </c>
      <c r="F39" s="47">
        <v>0</v>
      </c>
      <c r="G39" s="377">
        <f>ROUND(D39-E39-F39,0)</f>
        <v>0</v>
      </c>
      <c r="J39" s="833" t="s">
        <v>479</v>
      </c>
      <c r="K39" s="834"/>
      <c r="L39" s="834"/>
      <c r="M39" s="835"/>
      <c r="N39" s="417">
        <v>0</v>
      </c>
      <c r="R39" s="328"/>
      <c r="V39" s="334"/>
    </row>
    <row r="40" spans="1:28" ht="12.75" customHeight="1" x14ac:dyDescent="0.25">
      <c r="A40" s="45" t="s">
        <v>480</v>
      </c>
      <c r="B40" s="46"/>
      <c r="C40" s="46"/>
      <c r="D40" s="47">
        <v>0</v>
      </c>
      <c r="E40" s="47">
        <v>0</v>
      </c>
      <c r="F40" s="47">
        <v>0</v>
      </c>
      <c r="G40" s="377">
        <f>ROUND(D40-E40-F40,0)</f>
        <v>0</v>
      </c>
      <c r="J40" s="833" t="s">
        <v>481</v>
      </c>
      <c r="K40" s="834"/>
      <c r="L40" s="834"/>
      <c r="M40" s="835"/>
      <c r="N40" s="418">
        <f>ROUND(N36-N37-N39,0)</f>
        <v>0</v>
      </c>
      <c r="R40" s="328"/>
      <c r="V40" s="334"/>
    </row>
    <row r="41" spans="1:28" ht="12.75" customHeight="1" x14ac:dyDescent="0.25">
      <c r="A41" s="45" t="s">
        <v>482</v>
      </c>
      <c r="B41" s="46"/>
      <c r="C41" s="46"/>
      <c r="D41" s="47">
        <v>3542</v>
      </c>
      <c r="E41" s="47">
        <v>3542</v>
      </c>
      <c r="F41" s="47">
        <v>0</v>
      </c>
      <c r="G41" s="377">
        <f>ROUND(D41-E41-F41,0)</f>
        <v>0</v>
      </c>
    </row>
    <row r="42" spans="1:28" ht="12.75" customHeight="1" x14ac:dyDescent="0.25">
      <c r="A42" s="48" t="s">
        <v>483</v>
      </c>
      <c r="B42" s="46"/>
      <c r="C42" s="46"/>
      <c r="D42" s="47">
        <v>0</v>
      </c>
      <c r="E42" s="47">
        <v>0</v>
      </c>
      <c r="F42" s="47">
        <v>0</v>
      </c>
      <c r="G42" s="377">
        <f>ROUND(D42-E42-F42,0)</f>
        <v>0</v>
      </c>
    </row>
    <row r="43" spans="1:28" ht="12.75" customHeight="1" x14ac:dyDescent="0.25">
      <c r="A43" s="824" t="s">
        <v>484</v>
      </c>
      <c r="B43" s="825"/>
      <c r="C43" s="826"/>
      <c r="D43" s="412">
        <f>ROUND(SUM(D37:D42),0)</f>
        <v>206962</v>
      </c>
      <c r="E43" s="412">
        <f>ROUND(SUM(E37:E42),0)</f>
        <v>206962</v>
      </c>
      <c r="F43" s="412">
        <f>ROUND(SUM(F37:F42),0)</f>
        <v>0</v>
      </c>
      <c r="G43" s="412">
        <f>ROUND(SUM(G37:G42),0)</f>
        <v>0</v>
      </c>
    </row>
    <row r="44" spans="1:28" x14ac:dyDescent="0.25">
      <c r="F44" s="413"/>
    </row>
    <row r="45" spans="1:28" x14ac:dyDescent="0.25">
      <c r="E45" s="679" t="s">
        <v>1200</v>
      </c>
      <c r="F45" s="49">
        <f>ROUND(N19+O22+O25+O26+O27+J31+J32,0)</f>
        <v>0</v>
      </c>
      <c r="H45" s="827" t="str">
        <f>IF(OR(G37&lt;0,G38&lt;0,G39&lt;0,G40&lt;0,G41&lt;0,G42&lt;0,G43&lt;0),"Column G should not contain negative amounts. Click the instruction link in cell G36 for more information.","")</f>
        <v/>
      </c>
      <c r="I45" s="828"/>
      <c r="J45" s="828"/>
      <c r="K45" s="828"/>
    </row>
    <row r="46" spans="1:28" ht="12.75" customHeight="1" x14ac:dyDescent="0.25">
      <c r="A46" s="414"/>
      <c r="B46" s="414"/>
      <c r="C46" s="415"/>
      <c r="F46" s="827" t="str">
        <f>IF(F45&lt;&gt;F43,"Total in cell F43 should agree to amount in cell F45","")</f>
        <v/>
      </c>
      <c r="G46" s="827"/>
      <c r="H46" s="828"/>
      <c r="I46" s="828"/>
      <c r="J46" s="828"/>
      <c r="K46" s="828"/>
    </row>
    <row r="47" spans="1:28" ht="12.75" customHeight="1" x14ac:dyDescent="0.25">
      <c r="A47" s="414"/>
      <c r="B47" s="414"/>
      <c r="C47" s="415"/>
      <c r="F47" s="827"/>
      <c r="G47" s="827"/>
      <c r="H47" s="828"/>
      <c r="I47" s="828"/>
      <c r="J47" s="828"/>
      <c r="K47" s="828"/>
    </row>
    <row r="48" spans="1:28" ht="12.75" customHeight="1" x14ac:dyDescent="0.25">
      <c r="A48" s="415"/>
      <c r="B48" s="415"/>
      <c r="C48" s="415"/>
      <c r="F48" s="827"/>
      <c r="G48" s="827"/>
      <c r="H48" s="828"/>
      <c r="I48" s="828"/>
      <c r="J48" s="828"/>
      <c r="K48" s="828"/>
    </row>
    <row r="49" spans="6:7" ht="12.75" customHeight="1" x14ac:dyDescent="0.25">
      <c r="F49" s="827"/>
      <c r="G49" s="827"/>
    </row>
  </sheetData>
  <mergeCells count="22">
    <mergeCell ref="A43:C43"/>
    <mergeCell ref="H45:K48"/>
    <mergeCell ref="F46:G49"/>
    <mergeCell ref="A21:C21"/>
    <mergeCell ref="A29:C29"/>
    <mergeCell ref="J40:M40"/>
    <mergeCell ref="A35:C36"/>
    <mergeCell ref="J36:M36"/>
    <mergeCell ref="J37:M37"/>
    <mergeCell ref="J38:M38"/>
    <mergeCell ref="J39:M39"/>
    <mergeCell ref="A5:A6"/>
    <mergeCell ref="D5:L5"/>
    <mergeCell ref="N5:N9"/>
    <mergeCell ref="A8:C9"/>
    <mergeCell ref="L30:P32"/>
    <mergeCell ref="B1:E1"/>
    <mergeCell ref="H1:I1"/>
    <mergeCell ref="D35:D36"/>
    <mergeCell ref="E35:E36"/>
    <mergeCell ref="F35:F36"/>
    <mergeCell ref="G35:G36"/>
  </mergeCells>
  <conditionalFormatting sqref="B1:E1">
    <cfRule type="expression" dxfId="34" priority="42" stopIfTrue="1">
      <formula>B1=""</formula>
    </cfRule>
  </conditionalFormatting>
  <conditionalFormatting sqref="D22:D28">
    <cfRule type="expression" dxfId="33" priority="24" stopIfTrue="1">
      <formula>D22=""</formula>
    </cfRule>
  </conditionalFormatting>
  <conditionalFormatting sqref="D37:E42 F38:F42">
    <cfRule type="expression" dxfId="32" priority="5" stopIfTrue="1">
      <formula>D37=""</formula>
    </cfRule>
  </conditionalFormatting>
  <conditionalFormatting sqref="E22:E27">
    <cfRule type="expression" dxfId="31" priority="18" stopIfTrue="1">
      <formula>E22=""</formula>
    </cfRule>
  </conditionalFormatting>
  <conditionalFormatting sqref="G38:G42">
    <cfRule type="cellIs" dxfId="30" priority="8" stopIfTrue="1" operator="lessThan">
      <formula>0</formula>
    </cfRule>
  </conditionalFormatting>
  <conditionalFormatting sqref="H1:I1">
    <cfRule type="expression" dxfId="29" priority="41" stopIfTrue="1">
      <formula>H1=""</formula>
    </cfRule>
  </conditionalFormatting>
  <conditionalFormatting sqref="J22:J26">
    <cfRule type="expression" dxfId="28" priority="13" stopIfTrue="1">
      <formula>J22=""</formula>
    </cfRule>
  </conditionalFormatting>
  <conditionalFormatting sqref="J32">
    <cfRule type="expression" dxfId="27" priority="12" stopIfTrue="1">
      <formula>J32=""</formula>
    </cfRule>
  </conditionalFormatting>
  <conditionalFormatting sqref="L1">
    <cfRule type="expression" dxfId="26" priority="40" stopIfTrue="1">
      <formula>L1=""</formula>
    </cfRule>
  </conditionalFormatting>
  <conditionalFormatting sqref="L10:L18">
    <cfRule type="expression" dxfId="25" priority="31" stopIfTrue="1">
      <formula>L10=""</formula>
    </cfRule>
  </conditionalFormatting>
  <conditionalFormatting sqref="N36:N39">
    <cfRule type="expression" dxfId="24" priority="1" stopIfTrue="1">
      <formula>N36=""</formula>
    </cfRule>
  </conditionalFormatting>
  <conditionalFormatting sqref="O25:O27">
    <cfRule type="expression" dxfId="23" priority="9" stopIfTrue="1">
      <formula>O25=""</formula>
    </cfRule>
  </conditionalFormatting>
  <dataValidations count="148">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A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A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A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A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A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A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A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A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A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A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00000000-0002-0000-0A00-00000A00000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A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A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A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A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A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A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A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A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A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A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00000000-0002-0000-0A00-000015000000}">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A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A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A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A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A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A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A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A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A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A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00000000-0002-0000-0A00-000020000000}">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A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A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A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A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A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A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A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A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A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A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00000000-0002-0000-0A00-00002B000000}">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A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A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A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A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A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A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A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A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A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A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00000000-0002-0000-0A00-000036000000}">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A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A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A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A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A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A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A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A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A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A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00000000-0002-0000-0A00-000041000000}">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00000000-0002-0000-0A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A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A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A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A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A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A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A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A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A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A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00000000-0002-0000-0A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A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A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A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A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A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A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A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A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A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A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00000000-0002-0000-0A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A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A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A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A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A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A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A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A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A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A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00000000-0002-0000-0A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A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A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A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A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A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A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A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A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A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A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00000000-0002-0000-0A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A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A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A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A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A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A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A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A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A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A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00000000-0002-0000-0A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A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A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A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A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A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A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A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A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A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A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00000000-0002-0000-0A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00000000-0002-0000-0A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00000000-0002-0000-0A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A00-0000E2000000}"/>
    <dataValidation type="whole" allowBlank="1" showInputMessage="1" showErrorMessage="1" errorTitle="Input error" error="The amount entered should be rounded to the nearest dollar and should not exceed the remaining Other funds balance (column D minus columns E and F)." sqref="F42" xr:uid="{00000000-0002-0000-0A00-0000E3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00000000-0002-0000-0A00-0000E4000000}">
      <formula1>0</formula1>
      <formula2>D42-E42-#REF!</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00000000-0002-0000-0A00-0000E5000000}">
      <formula1>0</formula1>
      <formula2>D37-E37-#REF!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00000000-0002-0000-0A00-0000E6000000}">
      <formula1>0</formula1>
      <formula2>D37-E37-#REF!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00000000-0002-0000-0A00-0000E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00000000-0002-0000-0A00-0000E8000000}">
      <formula1>0</formula1>
      <formula2>D38-E38-#REF!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00000000-0002-0000-0A00-0000E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00000000-0002-0000-0A00-0000EA000000}">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00000000-0002-0000-0A00-0000EB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00000000-0002-0000-0A00-0000EC00000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00000000-0002-0000-0A00-0000ED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00000000-0002-0000-0A00-0000EE000000}">
      <formula1>0</formula1>
      <formula2>D39-E39-#REF!</formula2>
    </dataValidation>
  </dataValidations>
  <hyperlinks>
    <hyperlink ref="A18" location="Page10OtherLine" display="Other" xr:uid="{00000000-0004-0000-0A00-000000000000}"/>
    <hyperlink ref="A21:C21" location="Page10TechDetail" display="Technology related expenses from COVID-19 federal relief projects" xr:uid="{00000000-0004-0000-0A00-000001000000}"/>
    <hyperlink ref="A28" location="Page10TechDetailLine7" display="7. 6641-43 Software reported in library books, textbooks, or instructional aids " xr:uid="{00000000-0004-0000-0A00-000002000000}"/>
    <hyperlink ref="L8:L9" location="Page10PropertyDisbursement" display="Property" xr:uid="{00000000-0004-0000-0A00-000003000000}"/>
    <hyperlink ref="L24" location="Page10PropertyDisbursementDetail" display="Property disbursements from COVID-19 federal relief projects" xr:uid="{00000000-0004-0000-0A00-000004000000}"/>
    <hyperlink ref="G21" location="Page10PropertyDisbursementDetail" display="Property disbursement detail for COVID-19 federal relief projects" xr:uid="{00000000-0004-0000-0A00-000005000000}"/>
    <hyperlink ref="G30" location="Page10DebtServiceDetail" display="Debt service detail for COVID-19 federal relief projects" xr:uid="{00000000-0004-0000-0A00-000006000000}"/>
    <hyperlink ref="A37" location="Page10ProjectsLine1" display="1. Elementary and Secondary School Emergency Relief Funds (ESSER I)" xr:uid="{00000000-0004-0000-0A00-000007000000}"/>
    <hyperlink ref="A38" location="Page10ProjectsLine2" display="2. Elementary and Secondary School Emergency Relief Funds (ESSER II)" xr:uid="{00000000-0004-0000-0A00-000008000000}"/>
    <hyperlink ref="A39" location="Page10ProjectsLine3" display="3. Elementary and Secondary School Emergency Relief Funds (ESSER III)" xr:uid="{00000000-0004-0000-0A00-000009000000}"/>
    <hyperlink ref="A40" location="Page10ProjectsLine4" display="4. Governor’s Emergency Education Relief Funds (GEER) - includes Acceleration Academies Program" xr:uid="{00000000-0004-0000-0A00-00000A000000}"/>
    <hyperlink ref="A41" location="Page10ProjectsLine5" display="5. Coronavirus Relief Fund (CRF)—Enrollment Stability Grant (ESG) Program" xr:uid="{00000000-0004-0000-0A00-00000B000000}"/>
    <hyperlink ref="A42" location="Page10ProjectsLine6" display="6. Other COVID-19 Federal Relief Funds" xr:uid="{00000000-0004-0000-0A00-00000C000000}"/>
    <hyperlink ref="D35:D36" location="Page10TotalAward" display="Page10TotalAward" xr:uid="{00000000-0004-0000-0A00-00000D000000}"/>
    <hyperlink ref="E35:E36" location="Page10FY20to23Exp" display="Page10FY20to23Exp" xr:uid="{00000000-0004-0000-0A00-00000E000000}"/>
    <hyperlink ref="F35:F36" location="Page10FY24Exp" display="Page10FY24Exp" xr:uid="{00000000-0004-0000-0A00-00000F000000}"/>
    <hyperlink ref="G35:G36" location="Page10Remaining" display="Page10Remaining" xr:uid="{00000000-0004-0000-0A00-000010000000}"/>
    <hyperlink ref="J35" location="Page10PPP" display="Paycheck Protection Program" xr:uid="{00000000-0004-0000-0A00-000011000000}"/>
    <hyperlink ref="A35:C36" location="Page10projects" display="COVID-19 federal relief projects" xr:uid="{00000000-0004-0000-0A00-000012000000}"/>
  </hyperlinks>
  <pageMargins left="0.75" right="0.25" top="0.25" bottom="0.25" header="0.5" footer="0.15"/>
  <pageSetup paperSize="5" scale="63" orientation="landscape" r:id="rId1"/>
  <headerFooter>
    <oddFooter>&amp;LRev. 8/24 Arizona Department of Education and Auditor General&amp;CFY 2024</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R23"/>
  <sheetViews>
    <sheetView showGridLines="0" zoomScaleNormal="100" workbookViewId="0">
      <selection activeCell="C17" sqref="C17:C22"/>
    </sheetView>
  </sheetViews>
  <sheetFormatPr defaultColWidth="9.33203125" defaultRowHeight="13.2" x14ac:dyDescent="0.25"/>
  <cols>
    <col min="1" max="1" width="38.109375" style="420" customWidth="1"/>
    <col min="2" max="3" width="16.33203125" style="420" customWidth="1"/>
    <col min="4" max="4" width="15.109375" style="420" customWidth="1"/>
    <col min="5" max="5" width="15.6640625" style="420" customWidth="1"/>
    <col min="6" max="6" width="15.109375" style="420" customWidth="1"/>
    <col min="7" max="7" width="16.33203125" style="420" customWidth="1"/>
    <col min="8" max="8" width="19.33203125" style="420" customWidth="1"/>
    <col min="9" max="10" width="15.6640625" style="420" customWidth="1"/>
    <col min="11" max="11" width="17" style="420" customWidth="1"/>
    <col min="12" max="12" width="8.77734375" style="420" customWidth="1"/>
    <col min="13" max="13" width="5.33203125" style="420" customWidth="1"/>
    <col min="14" max="14" width="12.33203125" style="420" customWidth="1"/>
    <col min="15" max="255" width="8.77734375" style="420" customWidth="1"/>
    <col min="256" max="256" width="32.33203125" style="420" bestFit="1" customWidth="1"/>
    <col min="257" max="257" width="22.109375" style="420" customWidth="1"/>
    <col min="258" max="258" width="14.33203125" style="420" customWidth="1"/>
    <col min="259" max="259" width="19" style="420" customWidth="1"/>
    <col min="260" max="260" width="8.77734375" style="420" customWidth="1"/>
    <col min="261" max="261" width="11.33203125" style="420" customWidth="1"/>
    <col min="262" max="262" width="8.77734375" style="420" customWidth="1"/>
    <col min="263" max="263" width="6.33203125" style="420" customWidth="1"/>
    <col min="264" max="264" width="14.33203125" style="420" customWidth="1"/>
    <col min="265" max="268" width="8.77734375" style="420" customWidth="1"/>
    <col min="269" max="269" width="17.77734375" style="420" customWidth="1"/>
    <col min="270" max="511" width="8.77734375" style="420" customWidth="1"/>
    <col min="512" max="512" width="32.33203125" style="420" bestFit="1" customWidth="1"/>
    <col min="513" max="513" width="22.109375" style="420" customWidth="1"/>
    <col min="514" max="514" width="14.33203125" style="420" customWidth="1"/>
    <col min="515" max="515" width="19" style="420" customWidth="1"/>
    <col min="516" max="516" width="8.77734375" style="420" customWidth="1"/>
    <col min="517" max="517" width="11.33203125" style="420" customWidth="1"/>
    <col min="518" max="518" width="8.77734375" style="420" customWidth="1"/>
    <col min="519" max="519" width="6.33203125" style="420" customWidth="1"/>
    <col min="520" max="520" width="14.33203125" style="420" customWidth="1"/>
    <col min="521" max="524" width="8.77734375" style="420" customWidth="1"/>
    <col min="525" max="525" width="17.77734375" style="420" customWidth="1"/>
    <col min="526" max="767" width="8.77734375" style="420" customWidth="1"/>
    <col min="768" max="768" width="32.33203125" style="420" bestFit="1" customWidth="1"/>
    <col min="769" max="769" width="22.109375" style="420" customWidth="1"/>
    <col min="770" max="770" width="14.33203125" style="420" customWidth="1"/>
    <col min="771" max="771" width="19" style="420" customWidth="1"/>
    <col min="772" max="772" width="8.77734375" style="420" customWidth="1"/>
    <col min="773" max="773" width="11.33203125" style="420" customWidth="1"/>
    <col min="774" max="774" width="8.77734375" style="420" customWidth="1"/>
    <col min="775" max="775" width="6.33203125" style="420" customWidth="1"/>
    <col min="776" max="776" width="14.33203125" style="420" customWidth="1"/>
    <col min="777" max="780" width="8.77734375" style="420" customWidth="1"/>
    <col min="781" max="781" width="17.77734375" style="420" customWidth="1"/>
    <col min="782" max="1023" width="8.77734375" style="420" customWidth="1"/>
    <col min="1024" max="1024" width="32.33203125" style="420" bestFit="1" customWidth="1"/>
    <col min="1025" max="1025" width="22.109375" style="420" customWidth="1"/>
    <col min="1026" max="1026" width="14.33203125" style="420" customWidth="1"/>
    <col min="1027" max="1027" width="19" style="420" customWidth="1"/>
    <col min="1028" max="1028" width="8.77734375" style="420" customWidth="1"/>
    <col min="1029" max="1029" width="11.33203125" style="420" customWidth="1"/>
    <col min="1030" max="1030" width="8.77734375" style="420" customWidth="1"/>
    <col min="1031" max="1031" width="6.33203125" style="420" customWidth="1"/>
    <col min="1032" max="1032" width="14.33203125" style="420" customWidth="1"/>
    <col min="1033" max="1036" width="8.77734375" style="420" customWidth="1"/>
    <col min="1037" max="1037" width="17.77734375" style="420" customWidth="1"/>
    <col min="1038" max="1279" width="8.77734375" style="420" customWidth="1"/>
    <col min="1280" max="1280" width="32.33203125" style="420" bestFit="1" customWidth="1"/>
    <col min="1281" max="1281" width="22.109375" style="420" customWidth="1"/>
    <col min="1282" max="1282" width="14.33203125" style="420" customWidth="1"/>
    <col min="1283" max="1283" width="19" style="420" customWidth="1"/>
    <col min="1284" max="1284" width="8.77734375" style="420" customWidth="1"/>
    <col min="1285" max="1285" width="11.33203125" style="420" customWidth="1"/>
    <col min="1286" max="1286" width="8.77734375" style="420" customWidth="1"/>
    <col min="1287" max="1287" width="6.33203125" style="420" customWidth="1"/>
    <col min="1288" max="1288" width="14.33203125" style="420" customWidth="1"/>
    <col min="1289" max="1292" width="8.77734375" style="420" customWidth="1"/>
    <col min="1293" max="1293" width="17.77734375" style="420" customWidth="1"/>
    <col min="1294" max="1535" width="8.77734375" style="420" customWidth="1"/>
    <col min="1536" max="1536" width="32.33203125" style="420" bestFit="1" customWidth="1"/>
    <col min="1537" max="1537" width="22.109375" style="420" customWidth="1"/>
    <col min="1538" max="1538" width="14.33203125" style="420" customWidth="1"/>
    <col min="1539" max="1539" width="19" style="420" customWidth="1"/>
    <col min="1540" max="1540" width="8.77734375" style="420" customWidth="1"/>
    <col min="1541" max="1541" width="11.33203125" style="420" customWidth="1"/>
    <col min="1542" max="1542" width="8.77734375" style="420" customWidth="1"/>
    <col min="1543" max="1543" width="6.33203125" style="420" customWidth="1"/>
    <col min="1544" max="1544" width="14.33203125" style="420" customWidth="1"/>
    <col min="1545" max="1548" width="8.77734375" style="420" customWidth="1"/>
    <col min="1549" max="1549" width="17.77734375" style="420" customWidth="1"/>
    <col min="1550" max="1791" width="8.77734375" style="420" customWidth="1"/>
    <col min="1792" max="1792" width="32.33203125" style="420" bestFit="1" customWidth="1"/>
    <col min="1793" max="1793" width="22.109375" style="420" customWidth="1"/>
    <col min="1794" max="1794" width="14.33203125" style="420" customWidth="1"/>
    <col min="1795" max="1795" width="19" style="420" customWidth="1"/>
    <col min="1796" max="1796" width="8.77734375" style="420" customWidth="1"/>
    <col min="1797" max="1797" width="11.33203125" style="420" customWidth="1"/>
    <col min="1798" max="1798" width="8.77734375" style="420" customWidth="1"/>
    <col min="1799" max="1799" width="6.33203125" style="420" customWidth="1"/>
    <col min="1800" max="1800" width="14.33203125" style="420" customWidth="1"/>
    <col min="1801" max="1804" width="8.77734375" style="420" customWidth="1"/>
    <col min="1805" max="1805" width="17.77734375" style="420" customWidth="1"/>
    <col min="1806" max="2047" width="8.77734375" style="420" customWidth="1"/>
    <col min="2048" max="2048" width="32.33203125" style="420" bestFit="1" customWidth="1"/>
    <col min="2049" max="2049" width="22.109375" style="420" customWidth="1"/>
    <col min="2050" max="2050" width="14.33203125" style="420" customWidth="1"/>
    <col min="2051" max="2051" width="19" style="420" customWidth="1"/>
    <col min="2052" max="2052" width="8.77734375" style="420" customWidth="1"/>
    <col min="2053" max="2053" width="11.33203125" style="420" customWidth="1"/>
    <col min="2054" max="2054" width="8.77734375" style="420" customWidth="1"/>
    <col min="2055" max="2055" width="6.33203125" style="420" customWidth="1"/>
    <col min="2056" max="2056" width="14.33203125" style="420" customWidth="1"/>
    <col min="2057" max="2060" width="8.77734375" style="420" customWidth="1"/>
    <col min="2061" max="2061" width="17.77734375" style="420" customWidth="1"/>
    <col min="2062" max="2303" width="8.77734375" style="420" customWidth="1"/>
    <col min="2304" max="2304" width="32.33203125" style="420" bestFit="1" customWidth="1"/>
    <col min="2305" max="2305" width="22.109375" style="420" customWidth="1"/>
    <col min="2306" max="2306" width="14.33203125" style="420" customWidth="1"/>
    <col min="2307" max="2307" width="19" style="420" customWidth="1"/>
    <col min="2308" max="2308" width="8.77734375" style="420" customWidth="1"/>
    <col min="2309" max="2309" width="11.33203125" style="420" customWidth="1"/>
    <col min="2310" max="2310" width="8.77734375" style="420" customWidth="1"/>
    <col min="2311" max="2311" width="6.33203125" style="420" customWidth="1"/>
    <col min="2312" max="2312" width="14.33203125" style="420" customWidth="1"/>
    <col min="2313" max="2316" width="8.77734375" style="420" customWidth="1"/>
    <col min="2317" max="2317" width="17.77734375" style="420" customWidth="1"/>
    <col min="2318" max="2559" width="8.77734375" style="420" customWidth="1"/>
    <col min="2560" max="2560" width="32.33203125" style="420" bestFit="1" customWidth="1"/>
    <col min="2561" max="2561" width="22.109375" style="420" customWidth="1"/>
    <col min="2562" max="2562" width="14.33203125" style="420" customWidth="1"/>
    <col min="2563" max="2563" width="19" style="420" customWidth="1"/>
    <col min="2564" max="2564" width="8.77734375" style="420" customWidth="1"/>
    <col min="2565" max="2565" width="11.33203125" style="420" customWidth="1"/>
    <col min="2566" max="2566" width="8.77734375" style="420" customWidth="1"/>
    <col min="2567" max="2567" width="6.33203125" style="420" customWidth="1"/>
    <col min="2568" max="2568" width="14.33203125" style="420" customWidth="1"/>
    <col min="2569" max="2572" width="8.77734375" style="420" customWidth="1"/>
    <col min="2573" max="2573" width="17.77734375" style="420" customWidth="1"/>
    <col min="2574" max="2815" width="8.77734375" style="420" customWidth="1"/>
    <col min="2816" max="2816" width="32.33203125" style="420" bestFit="1" customWidth="1"/>
    <col min="2817" max="2817" width="22.109375" style="420" customWidth="1"/>
    <col min="2818" max="2818" width="14.33203125" style="420" customWidth="1"/>
    <col min="2819" max="2819" width="19" style="420" customWidth="1"/>
    <col min="2820" max="2820" width="8.77734375" style="420" customWidth="1"/>
    <col min="2821" max="2821" width="11.33203125" style="420" customWidth="1"/>
    <col min="2822" max="2822" width="8.77734375" style="420" customWidth="1"/>
    <col min="2823" max="2823" width="6.33203125" style="420" customWidth="1"/>
    <col min="2824" max="2824" width="14.33203125" style="420" customWidth="1"/>
    <col min="2825" max="2828" width="8.77734375" style="420" customWidth="1"/>
    <col min="2829" max="2829" width="17.77734375" style="420" customWidth="1"/>
    <col min="2830" max="3071" width="8.77734375" style="420" customWidth="1"/>
    <col min="3072" max="3072" width="32.33203125" style="420" bestFit="1" customWidth="1"/>
    <col min="3073" max="3073" width="22.109375" style="420" customWidth="1"/>
    <col min="3074" max="3074" width="14.33203125" style="420" customWidth="1"/>
    <col min="3075" max="3075" width="19" style="420" customWidth="1"/>
    <col min="3076" max="3076" width="8.77734375" style="420" customWidth="1"/>
    <col min="3077" max="3077" width="11.33203125" style="420" customWidth="1"/>
    <col min="3078" max="3078" width="8.77734375" style="420" customWidth="1"/>
    <col min="3079" max="3079" width="6.33203125" style="420" customWidth="1"/>
    <col min="3080" max="3080" width="14.33203125" style="420" customWidth="1"/>
    <col min="3081" max="3084" width="8.77734375" style="420" customWidth="1"/>
    <col min="3085" max="3085" width="17.77734375" style="420" customWidth="1"/>
    <col min="3086" max="3327" width="8.77734375" style="420" customWidth="1"/>
    <col min="3328" max="3328" width="32.33203125" style="420" bestFit="1" customWidth="1"/>
    <col min="3329" max="3329" width="22.109375" style="420" customWidth="1"/>
    <col min="3330" max="3330" width="14.33203125" style="420" customWidth="1"/>
    <col min="3331" max="3331" width="19" style="420" customWidth="1"/>
    <col min="3332" max="3332" width="8.77734375" style="420" customWidth="1"/>
    <col min="3333" max="3333" width="11.33203125" style="420" customWidth="1"/>
    <col min="3334" max="3334" width="8.77734375" style="420" customWidth="1"/>
    <col min="3335" max="3335" width="6.33203125" style="420" customWidth="1"/>
    <col min="3336" max="3336" width="14.33203125" style="420" customWidth="1"/>
    <col min="3337" max="3340" width="8.77734375" style="420" customWidth="1"/>
    <col min="3341" max="3341" width="17.77734375" style="420" customWidth="1"/>
    <col min="3342" max="3583" width="8.77734375" style="420" customWidth="1"/>
    <col min="3584" max="3584" width="32.33203125" style="420" bestFit="1" customWidth="1"/>
    <col min="3585" max="3585" width="22.109375" style="420" customWidth="1"/>
    <col min="3586" max="3586" width="14.33203125" style="420" customWidth="1"/>
    <col min="3587" max="3587" width="19" style="420" customWidth="1"/>
    <col min="3588" max="3588" width="8.77734375" style="420" customWidth="1"/>
    <col min="3589" max="3589" width="11.33203125" style="420" customWidth="1"/>
    <col min="3590" max="3590" width="8.77734375" style="420" customWidth="1"/>
    <col min="3591" max="3591" width="6.33203125" style="420" customWidth="1"/>
    <col min="3592" max="3592" width="14.33203125" style="420" customWidth="1"/>
    <col min="3593" max="3596" width="8.77734375" style="420" customWidth="1"/>
    <col min="3597" max="3597" width="17.77734375" style="420" customWidth="1"/>
    <col min="3598" max="3839" width="8.77734375" style="420" customWidth="1"/>
    <col min="3840" max="3840" width="32.33203125" style="420" bestFit="1" customWidth="1"/>
    <col min="3841" max="3841" width="22.109375" style="420" customWidth="1"/>
    <col min="3842" max="3842" width="14.33203125" style="420" customWidth="1"/>
    <col min="3843" max="3843" width="19" style="420" customWidth="1"/>
    <col min="3844" max="3844" width="8.77734375" style="420" customWidth="1"/>
    <col min="3845" max="3845" width="11.33203125" style="420" customWidth="1"/>
    <col min="3846" max="3846" width="8.77734375" style="420" customWidth="1"/>
    <col min="3847" max="3847" width="6.33203125" style="420" customWidth="1"/>
    <col min="3848" max="3848" width="14.33203125" style="420" customWidth="1"/>
    <col min="3849" max="3852" width="8.77734375" style="420" customWidth="1"/>
    <col min="3853" max="3853" width="17.77734375" style="420" customWidth="1"/>
    <col min="3854" max="4095" width="8.77734375" style="420" customWidth="1"/>
    <col min="4096" max="4096" width="32.33203125" style="420" bestFit="1" customWidth="1"/>
    <col min="4097" max="4097" width="22.109375" style="420" customWidth="1"/>
    <col min="4098" max="4098" width="14.33203125" style="420" customWidth="1"/>
    <col min="4099" max="4099" width="19" style="420" customWidth="1"/>
    <col min="4100" max="4100" width="8.77734375" style="420" customWidth="1"/>
    <col min="4101" max="4101" width="11.33203125" style="420" customWidth="1"/>
    <col min="4102" max="4102" width="8.77734375" style="420" customWidth="1"/>
    <col min="4103" max="4103" width="6.33203125" style="420" customWidth="1"/>
    <col min="4104" max="4104" width="14.33203125" style="420" customWidth="1"/>
    <col min="4105" max="4108" width="8.77734375" style="420" customWidth="1"/>
    <col min="4109" max="4109" width="17.77734375" style="420" customWidth="1"/>
    <col min="4110" max="4351" width="8.77734375" style="420" customWidth="1"/>
    <col min="4352" max="4352" width="32.33203125" style="420" bestFit="1" customWidth="1"/>
    <col min="4353" max="4353" width="22.109375" style="420" customWidth="1"/>
    <col min="4354" max="4354" width="14.33203125" style="420" customWidth="1"/>
    <col min="4355" max="4355" width="19" style="420" customWidth="1"/>
    <col min="4356" max="4356" width="8.77734375" style="420" customWidth="1"/>
    <col min="4357" max="4357" width="11.33203125" style="420" customWidth="1"/>
    <col min="4358" max="4358" width="8.77734375" style="420" customWidth="1"/>
    <col min="4359" max="4359" width="6.33203125" style="420" customWidth="1"/>
    <col min="4360" max="4360" width="14.33203125" style="420" customWidth="1"/>
    <col min="4361" max="4364" width="8.77734375" style="420" customWidth="1"/>
    <col min="4365" max="4365" width="17.77734375" style="420" customWidth="1"/>
    <col min="4366" max="4607" width="8.77734375" style="420" customWidth="1"/>
    <col min="4608" max="4608" width="32.33203125" style="420" bestFit="1" customWidth="1"/>
    <col min="4609" max="4609" width="22.109375" style="420" customWidth="1"/>
    <col min="4610" max="4610" width="14.33203125" style="420" customWidth="1"/>
    <col min="4611" max="4611" width="19" style="420" customWidth="1"/>
    <col min="4612" max="4612" width="8.77734375" style="420" customWidth="1"/>
    <col min="4613" max="4613" width="11.33203125" style="420" customWidth="1"/>
    <col min="4614" max="4614" width="8.77734375" style="420" customWidth="1"/>
    <col min="4615" max="4615" width="6.33203125" style="420" customWidth="1"/>
    <col min="4616" max="4616" width="14.33203125" style="420" customWidth="1"/>
    <col min="4617" max="4620" width="8.77734375" style="420" customWidth="1"/>
    <col min="4621" max="4621" width="17.77734375" style="420" customWidth="1"/>
    <col min="4622" max="4863" width="8.77734375" style="420" customWidth="1"/>
    <col min="4864" max="4864" width="32.33203125" style="420" bestFit="1" customWidth="1"/>
    <col min="4865" max="4865" width="22.109375" style="420" customWidth="1"/>
    <col min="4866" max="4866" width="14.33203125" style="420" customWidth="1"/>
    <col min="4867" max="4867" width="19" style="420" customWidth="1"/>
    <col min="4868" max="4868" width="8.77734375" style="420" customWidth="1"/>
    <col min="4869" max="4869" width="11.33203125" style="420" customWidth="1"/>
    <col min="4870" max="4870" width="8.77734375" style="420" customWidth="1"/>
    <col min="4871" max="4871" width="6.33203125" style="420" customWidth="1"/>
    <col min="4872" max="4872" width="14.33203125" style="420" customWidth="1"/>
    <col min="4873" max="4876" width="8.77734375" style="420" customWidth="1"/>
    <col min="4877" max="4877" width="17.77734375" style="420" customWidth="1"/>
    <col min="4878" max="5119" width="8.77734375" style="420" customWidth="1"/>
    <col min="5120" max="5120" width="32.33203125" style="420" bestFit="1" customWidth="1"/>
    <col min="5121" max="5121" width="22.109375" style="420" customWidth="1"/>
    <col min="5122" max="5122" width="14.33203125" style="420" customWidth="1"/>
    <col min="5123" max="5123" width="19" style="420" customWidth="1"/>
    <col min="5124" max="5124" width="8.77734375" style="420" customWidth="1"/>
    <col min="5125" max="5125" width="11.33203125" style="420" customWidth="1"/>
    <col min="5126" max="5126" width="8.77734375" style="420" customWidth="1"/>
    <col min="5127" max="5127" width="6.33203125" style="420" customWidth="1"/>
    <col min="5128" max="5128" width="14.33203125" style="420" customWidth="1"/>
    <col min="5129" max="5132" width="8.77734375" style="420" customWidth="1"/>
    <col min="5133" max="5133" width="17.77734375" style="420" customWidth="1"/>
    <col min="5134" max="5375" width="8.77734375" style="420" customWidth="1"/>
    <col min="5376" max="5376" width="32.33203125" style="420" bestFit="1" customWidth="1"/>
    <col min="5377" max="5377" width="22.109375" style="420" customWidth="1"/>
    <col min="5378" max="5378" width="14.33203125" style="420" customWidth="1"/>
    <col min="5379" max="5379" width="19" style="420" customWidth="1"/>
    <col min="5380" max="5380" width="8.77734375" style="420" customWidth="1"/>
    <col min="5381" max="5381" width="11.33203125" style="420" customWidth="1"/>
    <col min="5382" max="5382" width="8.77734375" style="420" customWidth="1"/>
    <col min="5383" max="5383" width="6.33203125" style="420" customWidth="1"/>
    <col min="5384" max="5384" width="14.33203125" style="420" customWidth="1"/>
    <col min="5385" max="5388" width="8.77734375" style="420" customWidth="1"/>
    <col min="5389" max="5389" width="17.77734375" style="420" customWidth="1"/>
    <col min="5390" max="5631" width="8.77734375" style="420" customWidth="1"/>
    <col min="5632" max="5632" width="32.33203125" style="420" bestFit="1" customWidth="1"/>
    <col min="5633" max="5633" width="22.109375" style="420" customWidth="1"/>
    <col min="5634" max="5634" width="14.33203125" style="420" customWidth="1"/>
    <col min="5635" max="5635" width="19" style="420" customWidth="1"/>
    <col min="5636" max="5636" width="8.77734375" style="420" customWidth="1"/>
    <col min="5637" max="5637" width="11.33203125" style="420" customWidth="1"/>
    <col min="5638" max="5638" width="8.77734375" style="420" customWidth="1"/>
    <col min="5639" max="5639" width="6.33203125" style="420" customWidth="1"/>
    <col min="5640" max="5640" width="14.33203125" style="420" customWidth="1"/>
    <col min="5641" max="5644" width="8.77734375" style="420" customWidth="1"/>
    <col min="5645" max="5645" width="17.77734375" style="420" customWidth="1"/>
    <col min="5646" max="5887" width="8.77734375" style="420" customWidth="1"/>
    <col min="5888" max="5888" width="32.33203125" style="420" bestFit="1" customWidth="1"/>
    <col min="5889" max="5889" width="22.109375" style="420" customWidth="1"/>
    <col min="5890" max="5890" width="14.33203125" style="420" customWidth="1"/>
    <col min="5891" max="5891" width="19" style="420" customWidth="1"/>
    <col min="5892" max="5892" width="8.77734375" style="420" customWidth="1"/>
    <col min="5893" max="5893" width="11.33203125" style="420" customWidth="1"/>
    <col min="5894" max="5894" width="8.77734375" style="420" customWidth="1"/>
    <col min="5895" max="5895" width="6.33203125" style="420" customWidth="1"/>
    <col min="5896" max="5896" width="14.33203125" style="420" customWidth="1"/>
    <col min="5897" max="5900" width="8.77734375" style="420" customWidth="1"/>
    <col min="5901" max="5901" width="17.77734375" style="420" customWidth="1"/>
    <col min="5902" max="6143" width="8.77734375" style="420" customWidth="1"/>
    <col min="6144" max="6144" width="32.33203125" style="420" bestFit="1" customWidth="1"/>
    <col min="6145" max="6145" width="22.109375" style="420" customWidth="1"/>
    <col min="6146" max="6146" width="14.33203125" style="420" customWidth="1"/>
    <col min="6147" max="6147" width="19" style="420" customWidth="1"/>
    <col min="6148" max="6148" width="8.77734375" style="420" customWidth="1"/>
    <col min="6149" max="6149" width="11.33203125" style="420" customWidth="1"/>
    <col min="6150" max="6150" width="8.77734375" style="420" customWidth="1"/>
    <col min="6151" max="6151" width="6.33203125" style="420" customWidth="1"/>
    <col min="6152" max="6152" width="14.33203125" style="420" customWidth="1"/>
    <col min="6153" max="6156" width="8.77734375" style="420" customWidth="1"/>
    <col min="6157" max="6157" width="17.77734375" style="420" customWidth="1"/>
    <col min="6158" max="6399" width="8.77734375" style="420" customWidth="1"/>
    <col min="6400" max="6400" width="32.33203125" style="420" bestFit="1" customWidth="1"/>
    <col min="6401" max="6401" width="22.109375" style="420" customWidth="1"/>
    <col min="6402" max="6402" width="14.33203125" style="420" customWidth="1"/>
    <col min="6403" max="6403" width="19" style="420" customWidth="1"/>
    <col min="6404" max="6404" width="8.77734375" style="420" customWidth="1"/>
    <col min="6405" max="6405" width="11.33203125" style="420" customWidth="1"/>
    <col min="6406" max="6406" width="8.77734375" style="420" customWidth="1"/>
    <col min="6407" max="6407" width="6.33203125" style="420" customWidth="1"/>
    <col min="6408" max="6408" width="14.33203125" style="420" customWidth="1"/>
    <col min="6409" max="6412" width="8.77734375" style="420" customWidth="1"/>
    <col min="6413" max="6413" width="17.77734375" style="420" customWidth="1"/>
    <col min="6414" max="6655" width="8.77734375" style="420" customWidth="1"/>
    <col min="6656" max="6656" width="32.33203125" style="420" bestFit="1" customWidth="1"/>
    <col min="6657" max="6657" width="22.109375" style="420" customWidth="1"/>
    <col min="6658" max="6658" width="14.33203125" style="420" customWidth="1"/>
    <col min="6659" max="6659" width="19" style="420" customWidth="1"/>
    <col min="6660" max="6660" width="8.77734375" style="420" customWidth="1"/>
    <col min="6661" max="6661" width="11.33203125" style="420" customWidth="1"/>
    <col min="6662" max="6662" width="8.77734375" style="420" customWidth="1"/>
    <col min="6663" max="6663" width="6.33203125" style="420" customWidth="1"/>
    <col min="6664" max="6664" width="14.33203125" style="420" customWidth="1"/>
    <col min="6665" max="6668" width="8.77734375" style="420" customWidth="1"/>
    <col min="6669" max="6669" width="17.77734375" style="420" customWidth="1"/>
    <col min="6670" max="6911" width="8.77734375" style="420" customWidth="1"/>
    <col min="6912" max="6912" width="32.33203125" style="420" bestFit="1" customWidth="1"/>
    <col min="6913" max="6913" width="22.109375" style="420" customWidth="1"/>
    <col min="6914" max="6914" width="14.33203125" style="420" customWidth="1"/>
    <col min="6915" max="6915" width="19" style="420" customWidth="1"/>
    <col min="6916" max="6916" width="8.77734375" style="420" customWidth="1"/>
    <col min="6917" max="6917" width="11.33203125" style="420" customWidth="1"/>
    <col min="6918" max="6918" width="8.77734375" style="420" customWidth="1"/>
    <col min="6919" max="6919" width="6.33203125" style="420" customWidth="1"/>
    <col min="6920" max="6920" width="14.33203125" style="420" customWidth="1"/>
    <col min="6921" max="6924" width="8.77734375" style="420" customWidth="1"/>
    <col min="6925" max="6925" width="17.77734375" style="420" customWidth="1"/>
    <col min="6926" max="7167" width="8.77734375" style="420" customWidth="1"/>
    <col min="7168" max="7168" width="32.33203125" style="420" bestFit="1" customWidth="1"/>
    <col min="7169" max="7169" width="22.109375" style="420" customWidth="1"/>
    <col min="7170" max="7170" width="14.33203125" style="420" customWidth="1"/>
    <col min="7171" max="7171" width="19" style="420" customWidth="1"/>
    <col min="7172" max="7172" width="8.77734375" style="420" customWidth="1"/>
    <col min="7173" max="7173" width="11.33203125" style="420" customWidth="1"/>
    <col min="7174" max="7174" width="8.77734375" style="420" customWidth="1"/>
    <col min="7175" max="7175" width="6.33203125" style="420" customWidth="1"/>
    <col min="7176" max="7176" width="14.33203125" style="420" customWidth="1"/>
    <col min="7177" max="7180" width="8.77734375" style="420" customWidth="1"/>
    <col min="7181" max="7181" width="17.77734375" style="420" customWidth="1"/>
    <col min="7182" max="7423" width="8.77734375" style="420" customWidth="1"/>
    <col min="7424" max="7424" width="32.33203125" style="420" bestFit="1" customWidth="1"/>
    <col min="7425" max="7425" width="22.109375" style="420" customWidth="1"/>
    <col min="7426" max="7426" width="14.33203125" style="420" customWidth="1"/>
    <col min="7427" max="7427" width="19" style="420" customWidth="1"/>
    <col min="7428" max="7428" width="8.77734375" style="420" customWidth="1"/>
    <col min="7429" max="7429" width="11.33203125" style="420" customWidth="1"/>
    <col min="7430" max="7430" width="8.77734375" style="420" customWidth="1"/>
    <col min="7431" max="7431" width="6.33203125" style="420" customWidth="1"/>
    <col min="7432" max="7432" width="14.33203125" style="420" customWidth="1"/>
    <col min="7433" max="7436" width="8.77734375" style="420" customWidth="1"/>
    <col min="7437" max="7437" width="17.77734375" style="420" customWidth="1"/>
    <col min="7438" max="7679" width="8.77734375" style="420" customWidth="1"/>
    <col min="7680" max="7680" width="32.33203125" style="420" bestFit="1" customWidth="1"/>
    <col min="7681" max="7681" width="22.109375" style="420" customWidth="1"/>
    <col min="7682" max="7682" width="14.33203125" style="420" customWidth="1"/>
    <col min="7683" max="7683" width="19" style="420" customWidth="1"/>
    <col min="7684" max="7684" width="8.77734375" style="420" customWidth="1"/>
    <col min="7685" max="7685" width="11.33203125" style="420" customWidth="1"/>
    <col min="7686" max="7686" width="8.77734375" style="420" customWidth="1"/>
    <col min="7687" max="7687" width="6.33203125" style="420" customWidth="1"/>
    <col min="7688" max="7688" width="14.33203125" style="420" customWidth="1"/>
    <col min="7689" max="7692" width="8.77734375" style="420" customWidth="1"/>
    <col min="7693" max="7693" width="17.77734375" style="420" customWidth="1"/>
    <col min="7694" max="7935" width="8.77734375" style="420" customWidth="1"/>
    <col min="7936" max="7936" width="32.33203125" style="420" bestFit="1" customWidth="1"/>
    <col min="7937" max="7937" width="22.109375" style="420" customWidth="1"/>
    <col min="7938" max="7938" width="14.33203125" style="420" customWidth="1"/>
    <col min="7939" max="7939" width="19" style="420" customWidth="1"/>
    <col min="7940" max="7940" width="8.77734375" style="420" customWidth="1"/>
    <col min="7941" max="7941" width="11.33203125" style="420" customWidth="1"/>
    <col min="7942" max="7942" width="8.77734375" style="420" customWidth="1"/>
    <col min="7943" max="7943" width="6.33203125" style="420" customWidth="1"/>
    <col min="7944" max="7944" width="14.33203125" style="420" customWidth="1"/>
    <col min="7945" max="7948" width="8.77734375" style="420" customWidth="1"/>
    <col min="7949" max="7949" width="17.77734375" style="420" customWidth="1"/>
    <col min="7950" max="8191" width="8.77734375" style="420" customWidth="1"/>
    <col min="8192" max="8192" width="32.33203125" style="420" bestFit="1" customWidth="1"/>
    <col min="8193" max="8193" width="22.109375" style="420" customWidth="1"/>
    <col min="8194" max="8194" width="14.33203125" style="420" customWidth="1"/>
    <col min="8195" max="8195" width="19" style="420" customWidth="1"/>
    <col min="8196" max="8196" width="8.77734375" style="420" customWidth="1"/>
    <col min="8197" max="8197" width="11.33203125" style="420" customWidth="1"/>
    <col min="8198" max="8198" width="8.77734375" style="420" customWidth="1"/>
    <col min="8199" max="8199" width="6.33203125" style="420" customWidth="1"/>
    <col min="8200" max="8200" width="14.33203125" style="420" customWidth="1"/>
    <col min="8201" max="8204" width="8.77734375" style="420" customWidth="1"/>
    <col min="8205" max="8205" width="17.77734375" style="420" customWidth="1"/>
    <col min="8206" max="8447" width="8.77734375" style="420" customWidth="1"/>
    <col min="8448" max="8448" width="32.33203125" style="420" bestFit="1" customWidth="1"/>
    <col min="8449" max="8449" width="22.109375" style="420" customWidth="1"/>
    <col min="8450" max="8450" width="14.33203125" style="420" customWidth="1"/>
    <col min="8451" max="8451" width="19" style="420" customWidth="1"/>
    <col min="8452" max="8452" width="8.77734375" style="420" customWidth="1"/>
    <col min="8453" max="8453" width="11.33203125" style="420" customWidth="1"/>
    <col min="8454" max="8454" width="8.77734375" style="420" customWidth="1"/>
    <col min="8455" max="8455" width="6.33203125" style="420" customWidth="1"/>
    <col min="8456" max="8456" width="14.33203125" style="420" customWidth="1"/>
    <col min="8457" max="8460" width="8.77734375" style="420" customWidth="1"/>
    <col min="8461" max="8461" width="17.77734375" style="420" customWidth="1"/>
    <col min="8462" max="8703" width="8.77734375" style="420" customWidth="1"/>
    <col min="8704" max="8704" width="32.33203125" style="420" bestFit="1" customWidth="1"/>
    <col min="8705" max="8705" width="22.109375" style="420" customWidth="1"/>
    <col min="8706" max="8706" width="14.33203125" style="420" customWidth="1"/>
    <col min="8707" max="8707" width="19" style="420" customWidth="1"/>
    <col min="8708" max="8708" width="8.77734375" style="420" customWidth="1"/>
    <col min="8709" max="8709" width="11.33203125" style="420" customWidth="1"/>
    <col min="8710" max="8710" width="8.77734375" style="420" customWidth="1"/>
    <col min="8711" max="8711" width="6.33203125" style="420" customWidth="1"/>
    <col min="8712" max="8712" width="14.33203125" style="420" customWidth="1"/>
    <col min="8713" max="8716" width="8.77734375" style="420" customWidth="1"/>
    <col min="8717" max="8717" width="17.77734375" style="420" customWidth="1"/>
    <col min="8718" max="8959" width="8.77734375" style="420" customWidth="1"/>
    <col min="8960" max="8960" width="32.33203125" style="420" bestFit="1" customWidth="1"/>
    <col min="8961" max="8961" width="22.109375" style="420" customWidth="1"/>
    <col min="8962" max="8962" width="14.33203125" style="420" customWidth="1"/>
    <col min="8963" max="8963" width="19" style="420" customWidth="1"/>
    <col min="8964" max="8964" width="8.77734375" style="420" customWidth="1"/>
    <col min="8965" max="8965" width="11.33203125" style="420" customWidth="1"/>
    <col min="8966" max="8966" width="8.77734375" style="420" customWidth="1"/>
    <col min="8967" max="8967" width="6.33203125" style="420" customWidth="1"/>
    <col min="8968" max="8968" width="14.33203125" style="420" customWidth="1"/>
    <col min="8969" max="8972" width="8.77734375" style="420" customWidth="1"/>
    <col min="8973" max="8973" width="17.77734375" style="420" customWidth="1"/>
    <col min="8974" max="9215" width="8.77734375" style="420" customWidth="1"/>
    <col min="9216" max="9216" width="32.33203125" style="420" bestFit="1" customWidth="1"/>
    <col min="9217" max="9217" width="22.109375" style="420" customWidth="1"/>
    <col min="9218" max="9218" width="14.33203125" style="420" customWidth="1"/>
    <col min="9219" max="9219" width="19" style="420" customWidth="1"/>
    <col min="9220" max="9220" width="8.77734375" style="420" customWidth="1"/>
    <col min="9221" max="9221" width="11.33203125" style="420" customWidth="1"/>
    <col min="9222" max="9222" width="8.77734375" style="420" customWidth="1"/>
    <col min="9223" max="9223" width="6.33203125" style="420" customWidth="1"/>
    <col min="9224" max="9224" width="14.33203125" style="420" customWidth="1"/>
    <col min="9225" max="9228" width="8.77734375" style="420" customWidth="1"/>
    <col min="9229" max="9229" width="17.77734375" style="420" customWidth="1"/>
    <col min="9230" max="9471" width="8.77734375" style="420" customWidth="1"/>
    <col min="9472" max="9472" width="32.33203125" style="420" bestFit="1" customWidth="1"/>
    <col min="9473" max="9473" width="22.109375" style="420" customWidth="1"/>
    <col min="9474" max="9474" width="14.33203125" style="420" customWidth="1"/>
    <col min="9475" max="9475" width="19" style="420" customWidth="1"/>
    <col min="9476" max="9476" width="8.77734375" style="420" customWidth="1"/>
    <col min="9477" max="9477" width="11.33203125" style="420" customWidth="1"/>
    <col min="9478" max="9478" width="8.77734375" style="420" customWidth="1"/>
    <col min="9479" max="9479" width="6.33203125" style="420" customWidth="1"/>
    <col min="9480" max="9480" width="14.33203125" style="420" customWidth="1"/>
    <col min="9481" max="9484" width="8.77734375" style="420" customWidth="1"/>
    <col min="9485" max="9485" width="17.77734375" style="420" customWidth="1"/>
    <col min="9486" max="9727" width="8.77734375" style="420" customWidth="1"/>
    <col min="9728" max="9728" width="32.33203125" style="420" bestFit="1" customWidth="1"/>
    <col min="9729" max="9729" width="22.109375" style="420" customWidth="1"/>
    <col min="9730" max="9730" width="14.33203125" style="420" customWidth="1"/>
    <col min="9731" max="9731" width="19" style="420" customWidth="1"/>
    <col min="9732" max="9732" width="8.77734375" style="420" customWidth="1"/>
    <col min="9733" max="9733" width="11.33203125" style="420" customWidth="1"/>
    <col min="9734" max="9734" width="8.77734375" style="420" customWidth="1"/>
    <col min="9735" max="9735" width="6.33203125" style="420" customWidth="1"/>
    <col min="9736" max="9736" width="14.33203125" style="420" customWidth="1"/>
    <col min="9737" max="9740" width="8.77734375" style="420" customWidth="1"/>
    <col min="9741" max="9741" width="17.77734375" style="420" customWidth="1"/>
    <col min="9742" max="9983" width="8.77734375" style="420" customWidth="1"/>
    <col min="9984" max="9984" width="32.33203125" style="420" bestFit="1" customWidth="1"/>
    <col min="9985" max="9985" width="22.109375" style="420" customWidth="1"/>
    <col min="9986" max="9986" width="14.33203125" style="420" customWidth="1"/>
    <col min="9987" max="9987" width="19" style="420" customWidth="1"/>
    <col min="9988" max="9988" width="8.77734375" style="420" customWidth="1"/>
    <col min="9989" max="9989" width="11.33203125" style="420" customWidth="1"/>
    <col min="9990" max="9990" width="8.77734375" style="420" customWidth="1"/>
    <col min="9991" max="9991" width="6.33203125" style="420" customWidth="1"/>
    <col min="9992" max="9992" width="14.33203125" style="420" customWidth="1"/>
    <col min="9993" max="9996" width="8.77734375" style="420" customWidth="1"/>
    <col min="9997" max="9997" width="17.77734375" style="420" customWidth="1"/>
    <col min="9998" max="10239" width="8.77734375" style="420" customWidth="1"/>
    <col min="10240" max="10240" width="32.33203125" style="420" bestFit="1" customWidth="1"/>
    <col min="10241" max="10241" width="22.109375" style="420" customWidth="1"/>
    <col min="10242" max="10242" width="14.33203125" style="420" customWidth="1"/>
    <col min="10243" max="10243" width="19" style="420" customWidth="1"/>
    <col min="10244" max="10244" width="8.77734375" style="420" customWidth="1"/>
    <col min="10245" max="10245" width="11.33203125" style="420" customWidth="1"/>
    <col min="10246" max="10246" width="8.77734375" style="420" customWidth="1"/>
    <col min="10247" max="10247" width="6.33203125" style="420" customWidth="1"/>
    <col min="10248" max="10248" width="14.33203125" style="420" customWidth="1"/>
    <col min="10249" max="10252" width="8.77734375" style="420" customWidth="1"/>
    <col min="10253" max="10253" width="17.77734375" style="420" customWidth="1"/>
    <col min="10254" max="10495" width="8.77734375" style="420" customWidth="1"/>
    <col min="10496" max="10496" width="32.33203125" style="420" bestFit="1" customWidth="1"/>
    <col min="10497" max="10497" width="22.109375" style="420" customWidth="1"/>
    <col min="10498" max="10498" width="14.33203125" style="420" customWidth="1"/>
    <col min="10499" max="10499" width="19" style="420" customWidth="1"/>
    <col min="10500" max="10500" width="8.77734375" style="420" customWidth="1"/>
    <col min="10501" max="10501" width="11.33203125" style="420" customWidth="1"/>
    <col min="10502" max="10502" width="8.77734375" style="420" customWidth="1"/>
    <col min="10503" max="10503" width="6.33203125" style="420" customWidth="1"/>
    <col min="10504" max="10504" width="14.33203125" style="420" customWidth="1"/>
    <col min="10505" max="10508" width="8.77734375" style="420" customWidth="1"/>
    <col min="10509" max="10509" width="17.77734375" style="420" customWidth="1"/>
    <col min="10510" max="10751" width="8.77734375" style="420" customWidth="1"/>
    <col min="10752" max="10752" width="32.33203125" style="420" bestFit="1" customWidth="1"/>
    <col min="10753" max="10753" width="22.109375" style="420" customWidth="1"/>
    <col min="10754" max="10754" width="14.33203125" style="420" customWidth="1"/>
    <col min="10755" max="10755" width="19" style="420" customWidth="1"/>
    <col min="10756" max="10756" width="8.77734375" style="420" customWidth="1"/>
    <col min="10757" max="10757" width="11.33203125" style="420" customWidth="1"/>
    <col min="10758" max="10758" width="8.77734375" style="420" customWidth="1"/>
    <col min="10759" max="10759" width="6.33203125" style="420" customWidth="1"/>
    <col min="10760" max="10760" width="14.33203125" style="420" customWidth="1"/>
    <col min="10761" max="10764" width="8.77734375" style="420" customWidth="1"/>
    <col min="10765" max="10765" width="17.77734375" style="420" customWidth="1"/>
    <col min="10766" max="11007" width="8.77734375" style="420" customWidth="1"/>
    <col min="11008" max="11008" width="32.33203125" style="420" bestFit="1" customWidth="1"/>
    <col min="11009" max="11009" width="22.109375" style="420" customWidth="1"/>
    <col min="11010" max="11010" width="14.33203125" style="420" customWidth="1"/>
    <col min="11011" max="11011" width="19" style="420" customWidth="1"/>
    <col min="11012" max="11012" width="8.77734375" style="420" customWidth="1"/>
    <col min="11013" max="11013" width="11.33203125" style="420" customWidth="1"/>
    <col min="11014" max="11014" width="8.77734375" style="420" customWidth="1"/>
    <col min="11015" max="11015" width="6.33203125" style="420" customWidth="1"/>
    <col min="11016" max="11016" width="14.33203125" style="420" customWidth="1"/>
    <col min="11017" max="11020" width="8.77734375" style="420" customWidth="1"/>
    <col min="11021" max="11021" width="17.77734375" style="420" customWidth="1"/>
    <col min="11022" max="11263" width="8.77734375" style="420" customWidth="1"/>
    <col min="11264" max="11264" width="32.33203125" style="420" bestFit="1" customWidth="1"/>
    <col min="11265" max="11265" width="22.109375" style="420" customWidth="1"/>
    <col min="11266" max="11266" width="14.33203125" style="420" customWidth="1"/>
    <col min="11267" max="11267" width="19" style="420" customWidth="1"/>
    <col min="11268" max="11268" width="8.77734375" style="420" customWidth="1"/>
    <col min="11269" max="11269" width="11.33203125" style="420" customWidth="1"/>
    <col min="11270" max="11270" width="8.77734375" style="420" customWidth="1"/>
    <col min="11271" max="11271" width="6.33203125" style="420" customWidth="1"/>
    <col min="11272" max="11272" width="14.33203125" style="420" customWidth="1"/>
    <col min="11273" max="11276" width="8.77734375" style="420" customWidth="1"/>
    <col min="11277" max="11277" width="17.77734375" style="420" customWidth="1"/>
    <col min="11278" max="11519" width="8.77734375" style="420" customWidth="1"/>
    <col min="11520" max="11520" width="32.33203125" style="420" bestFit="1" customWidth="1"/>
    <col min="11521" max="11521" width="22.109375" style="420" customWidth="1"/>
    <col min="11522" max="11522" width="14.33203125" style="420" customWidth="1"/>
    <col min="11523" max="11523" width="19" style="420" customWidth="1"/>
    <col min="11524" max="11524" width="8.77734375" style="420" customWidth="1"/>
    <col min="11525" max="11525" width="11.33203125" style="420" customWidth="1"/>
    <col min="11526" max="11526" width="8.77734375" style="420" customWidth="1"/>
    <col min="11527" max="11527" width="6.33203125" style="420" customWidth="1"/>
    <col min="11528" max="11528" width="14.33203125" style="420" customWidth="1"/>
    <col min="11529" max="11532" width="8.77734375" style="420" customWidth="1"/>
    <col min="11533" max="11533" width="17.77734375" style="420" customWidth="1"/>
    <col min="11534" max="11775" width="8.77734375" style="420" customWidth="1"/>
    <col min="11776" max="11776" width="32.33203125" style="420" bestFit="1" customWidth="1"/>
    <col min="11777" max="11777" width="22.109375" style="420" customWidth="1"/>
    <col min="11778" max="11778" width="14.33203125" style="420" customWidth="1"/>
    <col min="11779" max="11779" width="19" style="420" customWidth="1"/>
    <col min="11780" max="11780" width="8.77734375" style="420" customWidth="1"/>
    <col min="11781" max="11781" width="11.33203125" style="420" customWidth="1"/>
    <col min="11782" max="11782" width="8.77734375" style="420" customWidth="1"/>
    <col min="11783" max="11783" width="6.33203125" style="420" customWidth="1"/>
    <col min="11784" max="11784" width="14.33203125" style="420" customWidth="1"/>
    <col min="11785" max="11788" width="8.77734375" style="420" customWidth="1"/>
    <col min="11789" max="11789" width="17.77734375" style="420" customWidth="1"/>
    <col min="11790" max="12031" width="8.77734375" style="420" customWidth="1"/>
    <col min="12032" max="12032" width="32.33203125" style="420" bestFit="1" customWidth="1"/>
    <col min="12033" max="12033" width="22.109375" style="420" customWidth="1"/>
    <col min="12034" max="12034" width="14.33203125" style="420" customWidth="1"/>
    <col min="12035" max="12035" width="19" style="420" customWidth="1"/>
    <col min="12036" max="12036" width="8.77734375" style="420" customWidth="1"/>
    <col min="12037" max="12037" width="11.33203125" style="420" customWidth="1"/>
    <col min="12038" max="12038" width="8.77734375" style="420" customWidth="1"/>
    <col min="12039" max="12039" width="6.33203125" style="420" customWidth="1"/>
    <col min="12040" max="12040" width="14.33203125" style="420" customWidth="1"/>
    <col min="12041" max="12044" width="8.77734375" style="420" customWidth="1"/>
    <col min="12045" max="12045" width="17.77734375" style="420" customWidth="1"/>
    <col min="12046" max="12287" width="8.77734375" style="420" customWidth="1"/>
    <col min="12288" max="12288" width="32.33203125" style="420" bestFit="1" customWidth="1"/>
    <col min="12289" max="12289" width="22.109375" style="420" customWidth="1"/>
    <col min="12290" max="12290" width="14.33203125" style="420" customWidth="1"/>
    <col min="12291" max="12291" width="19" style="420" customWidth="1"/>
    <col min="12292" max="12292" width="8.77734375" style="420" customWidth="1"/>
    <col min="12293" max="12293" width="11.33203125" style="420" customWidth="1"/>
    <col min="12294" max="12294" width="8.77734375" style="420" customWidth="1"/>
    <col min="12295" max="12295" width="6.33203125" style="420" customWidth="1"/>
    <col min="12296" max="12296" width="14.33203125" style="420" customWidth="1"/>
    <col min="12297" max="12300" width="8.77734375" style="420" customWidth="1"/>
    <col min="12301" max="12301" width="17.77734375" style="420" customWidth="1"/>
    <col min="12302" max="12543" width="8.77734375" style="420" customWidth="1"/>
    <col min="12544" max="12544" width="32.33203125" style="420" bestFit="1" customWidth="1"/>
    <col min="12545" max="12545" width="22.109375" style="420" customWidth="1"/>
    <col min="12546" max="12546" width="14.33203125" style="420" customWidth="1"/>
    <col min="12547" max="12547" width="19" style="420" customWidth="1"/>
    <col min="12548" max="12548" width="8.77734375" style="420" customWidth="1"/>
    <col min="12549" max="12549" width="11.33203125" style="420" customWidth="1"/>
    <col min="12550" max="12550" width="8.77734375" style="420" customWidth="1"/>
    <col min="12551" max="12551" width="6.33203125" style="420" customWidth="1"/>
    <col min="12552" max="12552" width="14.33203125" style="420" customWidth="1"/>
    <col min="12553" max="12556" width="8.77734375" style="420" customWidth="1"/>
    <col min="12557" max="12557" width="17.77734375" style="420" customWidth="1"/>
    <col min="12558" max="12799" width="8.77734375" style="420" customWidth="1"/>
    <col min="12800" max="12800" width="32.33203125" style="420" bestFit="1" customWidth="1"/>
    <col min="12801" max="12801" width="22.109375" style="420" customWidth="1"/>
    <col min="12802" max="12802" width="14.33203125" style="420" customWidth="1"/>
    <col min="12803" max="12803" width="19" style="420" customWidth="1"/>
    <col min="12804" max="12804" width="8.77734375" style="420" customWidth="1"/>
    <col min="12805" max="12805" width="11.33203125" style="420" customWidth="1"/>
    <col min="12806" max="12806" width="8.77734375" style="420" customWidth="1"/>
    <col min="12807" max="12807" width="6.33203125" style="420" customWidth="1"/>
    <col min="12808" max="12808" width="14.33203125" style="420" customWidth="1"/>
    <col min="12809" max="12812" width="8.77734375" style="420" customWidth="1"/>
    <col min="12813" max="12813" width="17.77734375" style="420" customWidth="1"/>
    <col min="12814" max="13055" width="8.77734375" style="420" customWidth="1"/>
    <col min="13056" max="13056" width="32.33203125" style="420" bestFit="1" customWidth="1"/>
    <col min="13057" max="13057" width="22.109375" style="420" customWidth="1"/>
    <col min="13058" max="13058" width="14.33203125" style="420" customWidth="1"/>
    <col min="13059" max="13059" width="19" style="420" customWidth="1"/>
    <col min="13060" max="13060" width="8.77734375" style="420" customWidth="1"/>
    <col min="13061" max="13061" width="11.33203125" style="420" customWidth="1"/>
    <col min="13062" max="13062" width="8.77734375" style="420" customWidth="1"/>
    <col min="13063" max="13063" width="6.33203125" style="420" customWidth="1"/>
    <col min="13064" max="13064" width="14.33203125" style="420" customWidth="1"/>
    <col min="13065" max="13068" width="8.77734375" style="420" customWidth="1"/>
    <col min="13069" max="13069" width="17.77734375" style="420" customWidth="1"/>
    <col min="13070" max="13311" width="8.77734375" style="420" customWidth="1"/>
    <col min="13312" max="13312" width="32.33203125" style="420" bestFit="1" customWidth="1"/>
    <col min="13313" max="13313" width="22.109375" style="420" customWidth="1"/>
    <col min="13314" max="13314" width="14.33203125" style="420" customWidth="1"/>
    <col min="13315" max="13315" width="19" style="420" customWidth="1"/>
    <col min="13316" max="13316" width="8.77734375" style="420" customWidth="1"/>
    <col min="13317" max="13317" width="11.33203125" style="420" customWidth="1"/>
    <col min="13318" max="13318" width="8.77734375" style="420" customWidth="1"/>
    <col min="13319" max="13319" width="6.33203125" style="420" customWidth="1"/>
    <col min="13320" max="13320" width="14.33203125" style="420" customWidth="1"/>
    <col min="13321" max="13324" width="8.77734375" style="420" customWidth="1"/>
    <col min="13325" max="13325" width="17.77734375" style="420" customWidth="1"/>
    <col min="13326" max="13567" width="8.77734375" style="420" customWidth="1"/>
    <col min="13568" max="13568" width="32.33203125" style="420" bestFit="1" customWidth="1"/>
    <col min="13569" max="13569" width="22.109375" style="420" customWidth="1"/>
    <col min="13570" max="13570" width="14.33203125" style="420" customWidth="1"/>
    <col min="13571" max="13571" width="19" style="420" customWidth="1"/>
    <col min="13572" max="13572" width="8.77734375" style="420" customWidth="1"/>
    <col min="13573" max="13573" width="11.33203125" style="420" customWidth="1"/>
    <col min="13574" max="13574" width="8.77734375" style="420" customWidth="1"/>
    <col min="13575" max="13575" width="6.33203125" style="420" customWidth="1"/>
    <col min="13576" max="13576" width="14.33203125" style="420" customWidth="1"/>
    <col min="13577" max="13580" width="8.77734375" style="420" customWidth="1"/>
    <col min="13581" max="13581" width="17.77734375" style="420" customWidth="1"/>
    <col min="13582" max="13823" width="8.77734375" style="420" customWidth="1"/>
    <col min="13824" max="13824" width="32.33203125" style="420" bestFit="1" customWidth="1"/>
    <col min="13825" max="13825" width="22.109375" style="420" customWidth="1"/>
    <col min="13826" max="13826" width="14.33203125" style="420" customWidth="1"/>
    <col min="13827" max="13827" width="19" style="420" customWidth="1"/>
    <col min="13828" max="13828" width="8.77734375" style="420" customWidth="1"/>
    <col min="13829" max="13829" width="11.33203125" style="420" customWidth="1"/>
    <col min="13830" max="13830" width="8.77734375" style="420" customWidth="1"/>
    <col min="13831" max="13831" width="6.33203125" style="420" customWidth="1"/>
    <col min="13832" max="13832" width="14.33203125" style="420" customWidth="1"/>
    <col min="13833" max="13836" width="8.77734375" style="420" customWidth="1"/>
    <col min="13837" max="13837" width="17.77734375" style="420" customWidth="1"/>
    <col min="13838" max="14079" width="8.77734375" style="420" customWidth="1"/>
    <col min="14080" max="14080" width="32.33203125" style="420" bestFit="1" customWidth="1"/>
    <col min="14081" max="14081" width="22.109375" style="420" customWidth="1"/>
    <col min="14082" max="14082" width="14.33203125" style="420" customWidth="1"/>
    <col min="14083" max="14083" width="19" style="420" customWidth="1"/>
    <col min="14084" max="14084" width="8.77734375" style="420" customWidth="1"/>
    <col min="14085" max="14085" width="11.33203125" style="420" customWidth="1"/>
    <col min="14086" max="14086" width="8.77734375" style="420" customWidth="1"/>
    <col min="14087" max="14087" width="6.33203125" style="420" customWidth="1"/>
    <col min="14088" max="14088" width="14.33203125" style="420" customWidth="1"/>
    <col min="14089" max="14092" width="8.77734375" style="420" customWidth="1"/>
    <col min="14093" max="14093" width="17.77734375" style="420" customWidth="1"/>
    <col min="14094" max="14335" width="8.77734375" style="420" customWidth="1"/>
    <col min="14336" max="14336" width="32.33203125" style="420" bestFit="1" customWidth="1"/>
    <col min="14337" max="14337" width="22.109375" style="420" customWidth="1"/>
    <col min="14338" max="14338" width="14.33203125" style="420" customWidth="1"/>
    <col min="14339" max="14339" width="19" style="420" customWidth="1"/>
    <col min="14340" max="14340" width="8.77734375" style="420" customWidth="1"/>
    <col min="14341" max="14341" width="11.33203125" style="420" customWidth="1"/>
    <col min="14342" max="14342" width="8.77734375" style="420" customWidth="1"/>
    <col min="14343" max="14343" width="6.33203125" style="420" customWidth="1"/>
    <col min="14344" max="14344" width="14.33203125" style="420" customWidth="1"/>
    <col min="14345" max="14348" width="8.77734375" style="420" customWidth="1"/>
    <col min="14349" max="14349" width="17.77734375" style="420" customWidth="1"/>
    <col min="14350" max="14591" width="8.77734375" style="420" customWidth="1"/>
    <col min="14592" max="14592" width="32.33203125" style="420" bestFit="1" customWidth="1"/>
    <col min="14593" max="14593" width="22.109375" style="420" customWidth="1"/>
    <col min="14594" max="14594" width="14.33203125" style="420" customWidth="1"/>
    <col min="14595" max="14595" width="19" style="420" customWidth="1"/>
    <col min="14596" max="14596" width="8.77734375" style="420" customWidth="1"/>
    <col min="14597" max="14597" width="11.33203125" style="420" customWidth="1"/>
    <col min="14598" max="14598" width="8.77734375" style="420" customWidth="1"/>
    <col min="14599" max="14599" width="6.33203125" style="420" customWidth="1"/>
    <col min="14600" max="14600" width="14.33203125" style="420" customWidth="1"/>
    <col min="14601" max="14604" width="8.77734375" style="420" customWidth="1"/>
    <col min="14605" max="14605" width="17.77734375" style="420" customWidth="1"/>
    <col min="14606" max="14847" width="8.77734375" style="420" customWidth="1"/>
    <col min="14848" max="14848" width="32.33203125" style="420" bestFit="1" customWidth="1"/>
    <col min="14849" max="14849" width="22.109375" style="420" customWidth="1"/>
    <col min="14850" max="14850" width="14.33203125" style="420" customWidth="1"/>
    <col min="14851" max="14851" width="19" style="420" customWidth="1"/>
    <col min="14852" max="14852" width="8.77734375" style="420" customWidth="1"/>
    <col min="14853" max="14853" width="11.33203125" style="420" customWidth="1"/>
    <col min="14854" max="14854" width="8.77734375" style="420" customWidth="1"/>
    <col min="14855" max="14855" width="6.33203125" style="420" customWidth="1"/>
    <col min="14856" max="14856" width="14.33203125" style="420" customWidth="1"/>
    <col min="14857" max="14860" width="8.77734375" style="420" customWidth="1"/>
    <col min="14861" max="14861" width="17.77734375" style="420" customWidth="1"/>
    <col min="14862" max="15103" width="8.77734375" style="420" customWidth="1"/>
    <col min="15104" max="15104" width="32.33203125" style="420" bestFit="1" customWidth="1"/>
    <col min="15105" max="15105" width="22.109375" style="420" customWidth="1"/>
    <col min="15106" max="15106" width="14.33203125" style="420" customWidth="1"/>
    <col min="15107" max="15107" width="19" style="420" customWidth="1"/>
    <col min="15108" max="15108" width="8.77734375" style="420" customWidth="1"/>
    <col min="15109" max="15109" width="11.33203125" style="420" customWidth="1"/>
    <col min="15110" max="15110" width="8.77734375" style="420" customWidth="1"/>
    <col min="15111" max="15111" width="6.33203125" style="420" customWidth="1"/>
    <col min="15112" max="15112" width="14.33203125" style="420" customWidth="1"/>
    <col min="15113" max="15116" width="8.77734375" style="420" customWidth="1"/>
    <col min="15117" max="15117" width="17.77734375" style="420" customWidth="1"/>
    <col min="15118" max="15359" width="8.77734375" style="420" customWidth="1"/>
    <col min="15360" max="15360" width="32.33203125" style="420" bestFit="1" customWidth="1"/>
    <col min="15361" max="15361" width="22.109375" style="420" customWidth="1"/>
    <col min="15362" max="15362" width="14.33203125" style="420" customWidth="1"/>
    <col min="15363" max="15363" width="19" style="420" customWidth="1"/>
    <col min="15364" max="15364" width="8.77734375" style="420" customWidth="1"/>
    <col min="15365" max="15365" width="11.33203125" style="420" customWidth="1"/>
    <col min="15366" max="15366" width="8.77734375" style="420" customWidth="1"/>
    <col min="15367" max="15367" width="6.33203125" style="420" customWidth="1"/>
    <col min="15368" max="15368" width="14.33203125" style="420" customWidth="1"/>
    <col min="15369" max="15372" width="8.77734375" style="420" customWidth="1"/>
    <col min="15373" max="15373" width="17.77734375" style="420" customWidth="1"/>
    <col min="15374" max="15615" width="8.77734375" style="420" customWidth="1"/>
    <col min="15616" max="15616" width="32.33203125" style="420" bestFit="1" customWidth="1"/>
    <col min="15617" max="15617" width="22.109375" style="420" customWidth="1"/>
    <col min="15618" max="15618" width="14.33203125" style="420" customWidth="1"/>
    <col min="15619" max="15619" width="19" style="420" customWidth="1"/>
    <col min="15620" max="15620" width="8.77734375" style="420" customWidth="1"/>
    <col min="15621" max="15621" width="11.33203125" style="420" customWidth="1"/>
    <col min="15622" max="15622" width="8.77734375" style="420" customWidth="1"/>
    <col min="15623" max="15623" width="6.33203125" style="420" customWidth="1"/>
    <col min="15624" max="15624" width="14.33203125" style="420" customWidth="1"/>
    <col min="15625" max="15628" width="8.77734375" style="420" customWidth="1"/>
    <col min="15629" max="15629" width="17.77734375" style="420" customWidth="1"/>
    <col min="15630" max="15871" width="8.77734375" style="420" customWidth="1"/>
    <col min="15872" max="15872" width="32.33203125" style="420" bestFit="1" customWidth="1"/>
    <col min="15873" max="15873" width="22.109375" style="420" customWidth="1"/>
    <col min="15874" max="15874" width="14.33203125" style="420" customWidth="1"/>
    <col min="15875" max="15875" width="19" style="420" customWidth="1"/>
    <col min="15876" max="15876" width="8.77734375" style="420" customWidth="1"/>
    <col min="15877" max="15877" width="11.33203125" style="420" customWidth="1"/>
    <col min="15878" max="15878" width="8.77734375" style="420" customWidth="1"/>
    <col min="15879" max="15879" width="6.33203125" style="420" customWidth="1"/>
    <col min="15880" max="15880" width="14.33203125" style="420" customWidth="1"/>
    <col min="15881" max="15884" width="8.77734375" style="420" customWidth="1"/>
    <col min="15885" max="15885" width="17.77734375" style="420" customWidth="1"/>
    <col min="15886" max="16127" width="8.77734375" style="420" customWidth="1"/>
    <col min="16128" max="16128" width="32.33203125" style="420" bestFit="1" customWidth="1"/>
    <col min="16129" max="16129" width="22.109375" style="420" customWidth="1"/>
    <col min="16130" max="16130" width="14.33203125" style="420" customWidth="1"/>
    <col min="16131" max="16131" width="19" style="420" customWidth="1"/>
    <col min="16132" max="16132" width="8.77734375" style="420" customWidth="1"/>
    <col min="16133" max="16133" width="11.33203125" style="420" customWidth="1"/>
    <col min="16134" max="16134" width="8.77734375" style="420" customWidth="1"/>
    <col min="16135" max="16135" width="6.33203125" style="420" customWidth="1"/>
    <col min="16136" max="16136" width="14.33203125" style="420" customWidth="1"/>
    <col min="16137" max="16140" width="8.77734375" style="420" customWidth="1"/>
    <col min="16141" max="16141" width="17.77734375" style="420" customWidth="1"/>
    <col min="16142" max="16384" width="8.77734375" style="420" customWidth="1"/>
  </cols>
  <sheetData>
    <row r="1" spans="1:14" x14ac:dyDescent="0.25">
      <c r="A1" s="419" t="s">
        <v>0</v>
      </c>
      <c r="B1" s="848" t="str">
        <f>'Cover Page'!D1</f>
        <v>AIBT Non-Profit Charter High School</v>
      </c>
      <c r="C1" s="848"/>
      <c r="E1" s="419" t="s">
        <v>1</v>
      </c>
      <c r="F1" s="631" t="str">
        <f>'Cover Page'!M1</f>
        <v>Maricopa</v>
      </c>
      <c r="G1" s="421"/>
      <c r="H1" s="419" t="s">
        <v>2</v>
      </c>
      <c r="I1" s="584" t="str">
        <f>'Cover Page'!R1</f>
        <v>078286000</v>
      </c>
      <c r="J1" s="631"/>
      <c r="K1" s="631"/>
    </row>
    <row r="4" spans="1:14" x14ac:dyDescent="0.25">
      <c r="H4" s="422" t="s">
        <v>485</v>
      </c>
      <c r="I4" s="675" t="s">
        <v>1203</v>
      </c>
      <c r="J4" s="675" t="s">
        <v>1204</v>
      </c>
    </row>
    <row r="5" spans="1:14" x14ac:dyDescent="0.25">
      <c r="H5" s="3" t="s">
        <v>486</v>
      </c>
      <c r="I5" s="553">
        <v>13.449</v>
      </c>
      <c r="J5" s="553">
        <v>16.692900000000002</v>
      </c>
    </row>
    <row r="6" spans="1:14" x14ac:dyDescent="0.25">
      <c r="A6" s="423"/>
      <c r="B6" s="424" t="s">
        <v>487</v>
      </c>
    </row>
    <row r="8" spans="1:14" ht="15" customHeight="1" x14ac:dyDescent="0.25">
      <c r="A8" s="425"/>
      <c r="B8" s="426"/>
      <c r="C8" s="427" t="s">
        <v>488</v>
      </c>
      <c r="D8" s="849" t="s">
        <v>489</v>
      </c>
      <c r="E8" s="428"/>
      <c r="F8" s="429"/>
      <c r="G8" s="845" t="s">
        <v>490</v>
      </c>
      <c r="H8" s="847" t="s">
        <v>491</v>
      </c>
      <c r="I8" s="429"/>
      <c r="J8" s="429"/>
      <c r="K8" s="430"/>
    </row>
    <row r="9" spans="1:14" x14ac:dyDescent="0.25">
      <c r="A9" s="431"/>
      <c r="B9" s="432" t="s">
        <v>193</v>
      </c>
      <c r="C9" s="433" t="s">
        <v>193</v>
      </c>
      <c r="D9" s="850"/>
      <c r="E9" s="434"/>
      <c r="F9" s="435"/>
      <c r="G9" s="846"/>
      <c r="H9" s="846"/>
      <c r="I9" s="435" t="s">
        <v>320</v>
      </c>
      <c r="J9" s="435" t="s">
        <v>492</v>
      </c>
      <c r="K9" s="436" t="s">
        <v>196</v>
      </c>
    </row>
    <row r="10" spans="1:14" x14ac:dyDescent="0.25">
      <c r="A10" s="437" t="s">
        <v>493</v>
      </c>
      <c r="B10" s="438" t="s">
        <v>494</v>
      </c>
      <c r="C10" s="439" t="s">
        <v>494</v>
      </c>
      <c r="D10" s="851"/>
      <c r="E10" s="440" t="s">
        <v>495</v>
      </c>
      <c r="F10" s="441" t="s">
        <v>322</v>
      </c>
      <c r="G10" s="846"/>
      <c r="H10" s="846"/>
      <c r="I10" s="441" t="s">
        <v>324</v>
      </c>
      <c r="J10" s="441" t="s">
        <v>496</v>
      </c>
      <c r="K10" s="442" t="s">
        <v>494</v>
      </c>
      <c r="M10" s="419" t="s">
        <v>497</v>
      </c>
    </row>
    <row r="11" spans="1:14" x14ac:dyDescent="0.25">
      <c r="A11" s="443" t="s">
        <v>498</v>
      </c>
      <c r="B11" s="444"/>
      <c r="C11" s="445"/>
      <c r="D11" s="445"/>
      <c r="E11" s="446"/>
      <c r="F11" s="447"/>
      <c r="G11" s="448">
        <f>'Page 2'!I23</f>
        <v>65723</v>
      </c>
      <c r="H11" s="449">
        <f>'Page 2'!J23</f>
        <v>22589</v>
      </c>
      <c r="I11" s="450"/>
      <c r="J11" s="447"/>
      <c r="K11" s="444"/>
      <c r="M11" s="419" t="s">
        <v>1169</v>
      </c>
    </row>
    <row r="12" spans="1:14" x14ac:dyDescent="0.25">
      <c r="A12" s="443" t="s">
        <v>499</v>
      </c>
      <c r="B12" s="444"/>
      <c r="C12" s="444"/>
      <c r="D12" s="444"/>
      <c r="E12" s="451"/>
      <c r="F12" s="447"/>
      <c r="G12" s="448">
        <f>'Page 2'!I37</f>
        <v>1361</v>
      </c>
      <c r="H12" s="452">
        <f>'Page 2'!J37</f>
        <v>1300</v>
      </c>
      <c r="I12" s="450"/>
      <c r="J12" s="447"/>
      <c r="K12" s="444"/>
      <c r="M12" s="453">
        <v>-1</v>
      </c>
      <c r="N12" s="420" t="str">
        <f>"The Charter "&amp;IF('Project balance reserves'!F26="Yes","has","does not have")&amp;" an adopted policy establishing a reserve balance for FY 2024."</f>
        <v>The Charter does not have an adopted policy establishing a reserve balance for FY 2024.</v>
      </c>
    </row>
    <row r="13" spans="1:14" x14ac:dyDescent="0.25">
      <c r="A13" s="443" t="s">
        <v>500</v>
      </c>
      <c r="B13" s="444"/>
      <c r="C13" s="444"/>
      <c r="D13" s="444"/>
      <c r="E13" s="451"/>
      <c r="F13" s="447"/>
      <c r="G13" s="454">
        <f>'Page 2'!I38</f>
        <v>0</v>
      </c>
      <c r="H13" s="452">
        <f>'Page 2'!J38</f>
        <v>262</v>
      </c>
      <c r="I13" s="450"/>
      <c r="J13" s="447"/>
      <c r="K13" s="444"/>
    </row>
    <row r="14" spans="1:14" x14ac:dyDescent="0.25">
      <c r="A14" s="443" t="s">
        <v>501</v>
      </c>
      <c r="B14" s="444"/>
      <c r="C14" s="444"/>
      <c r="D14" s="444"/>
      <c r="E14" s="451"/>
      <c r="F14" s="447"/>
      <c r="G14" s="454">
        <f>'Page 2'!I39</f>
        <v>0</v>
      </c>
      <c r="H14" s="452">
        <f>'Page 2'!J39</f>
        <v>0</v>
      </c>
      <c r="I14" s="450"/>
      <c r="J14" s="447"/>
      <c r="K14" s="444"/>
      <c r="M14" s="453">
        <v>-2</v>
      </c>
      <c r="N14" s="420" t="s">
        <v>1205</v>
      </c>
    </row>
    <row r="15" spans="1:14" x14ac:dyDescent="0.25">
      <c r="A15" s="455" t="s">
        <v>502</v>
      </c>
      <c r="B15" s="456"/>
      <c r="C15" s="456"/>
      <c r="D15" s="456"/>
      <c r="E15" s="457"/>
      <c r="F15" s="447"/>
      <c r="G15" s="458">
        <f>'Page 2'!I40</f>
        <v>0</v>
      </c>
      <c r="H15" s="459">
        <f>'Page 2'!J40</f>
        <v>0</v>
      </c>
      <c r="I15" s="450"/>
      <c r="J15" s="447"/>
      <c r="K15" s="444"/>
      <c r="N15" s="460">
        <f>'Project balance reserves'!D39</f>
        <v>0</v>
      </c>
    </row>
    <row r="16" spans="1:14" x14ac:dyDescent="0.25">
      <c r="A16" s="461" t="s">
        <v>503</v>
      </c>
      <c r="B16" s="456"/>
      <c r="C16" s="444"/>
      <c r="D16" s="444"/>
      <c r="E16" s="451"/>
      <c r="F16" s="462"/>
      <c r="G16" s="463">
        <f>'Page 2'!I41</f>
        <v>0</v>
      </c>
      <c r="H16" s="464">
        <f>'Page 2'!J41</f>
        <v>0</v>
      </c>
      <c r="I16" s="462"/>
      <c r="J16" s="447"/>
      <c r="K16" s="465"/>
    </row>
    <row r="17" spans="1:18" x14ac:dyDescent="0.25">
      <c r="A17" s="466" t="s">
        <v>504</v>
      </c>
      <c r="B17" s="672">
        <f>[1]Summary!$K$17</f>
        <v>332596</v>
      </c>
      <c r="C17" s="473">
        <v>332596</v>
      </c>
      <c r="D17" s="467">
        <f>'Page 1'!H40-SUM(D18:D23)</f>
        <v>181231</v>
      </c>
      <c r="E17" s="451"/>
      <c r="F17" s="473">
        <v>0</v>
      </c>
      <c r="G17" s="551">
        <f>SUM(G11:G16)</f>
        <v>67084</v>
      </c>
      <c r="H17" s="552">
        <f>SUM(H11:H16)</f>
        <v>24151</v>
      </c>
      <c r="I17" s="473">
        <v>0</v>
      </c>
      <c r="J17" s="473">
        <v>0</v>
      </c>
      <c r="K17" s="468">
        <f>IF(C17="",B17,C17)+D17-E17-F17-I17-H17-J17</f>
        <v>489676</v>
      </c>
      <c r="M17" s="453"/>
    </row>
    <row r="18" spans="1:18" x14ac:dyDescent="0.25">
      <c r="A18" s="466" t="s">
        <v>505</v>
      </c>
      <c r="B18" s="467">
        <f>'Page 3'!F24</f>
        <v>12486</v>
      </c>
      <c r="C18" s="549">
        <v>12486</v>
      </c>
      <c r="D18" s="468">
        <f>'Page 3'!F27</f>
        <v>20310</v>
      </c>
      <c r="E18" s="451"/>
      <c r="F18" s="473">
        <v>0</v>
      </c>
      <c r="G18" s="469">
        <f>'Page 3'!J13+'Page 3'!F18</f>
        <v>15362</v>
      </c>
      <c r="H18" s="664">
        <f>'Page 3'!G18+'Page 3'!K13</f>
        <v>32796</v>
      </c>
      <c r="I18" s="467">
        <f>'Page 3'!G17</f>
        <v>0</v>
      </c>
      <c r="J18" s="467">
        <f>'Page 3'!G19</f>
        <v>0</v>
      </c>
      <c r="K18" s="468">
        <f>IF(C18="",B18,C18)+D18-E18-F18-I18-H18-J18</f>
        <v>0</v>
      </c>
      <c r="N18" s="671"/>
    </row>
    <row r="19" spans="1:18" x14ac:dyDescent="0.25">
      <c r="A19" s="466" t="s">
        <v>506</v>
      </c>
      <c r="B19" s="467">
        <f>'Page 4'!F15</f>
        <v>0</v>
      </c>
      <c r="C19" s="549">
        <v>0</v>
      </c>
      <c r="D19" s="468">
        <f>'Page 4'!F16</f>
        <v>1255</v>
      </c>
      <c r="E19" s="451"/>
      <c r="F19" s="473">
        <v>0</v>
      </c>
      <c r="G19" s="550">
        <f>'Page 4'!H11</f>
        <v>520</v>
      </c>
      <c r="H19" s="468">
        <f>'Page 4'!I11</f>
        <v>1255</v>
      </c>
      <c r="I19" s="450"/>
      <c r="J19" s="450"/>
      <c r="K19" s="468">
        <f t="shared" ref="K19:K23" si="0">IF(C19="",B19,C19)+D19-E19-F19-I19-H19-J19</f>
        <v>0</v>
      </c>
    </row>
    <row r="20" spans="1:18" x14ac:dyDescent="0.25">
      <c r="A20" s="466" t="s">
        <v>507</v>
      </c>
      <c r="B20" s="467">
        <f>'Page 5'!F26</f>
        <v>0</v>
      </c>
      <c r="C20" s="549">
        <v>0</v>
      </c>
      <c r="D20" s="468">
        <f>'Page 5'!G26</f>
        <v>0</v>
      </c>
      <c r="E20" s="451"/>
      <c r="F20" s="473">
        <v>0</v>
      </c>
      <c r="G20" s="550">
        <f>'Page 5'!M26</f>
        <v>0</v>
      </c>
      <c r="H20" s="468">
        <f>'Page 5'!N26</f>
        <v>0</v>
      </c>
      <c r="I20" s="450"/>
      <c r="J20" s="450"/>
      <c r="K20" s="468">
        <f t="shared" si="0"/>
        <v>0</v>
      </c>
      <c r="M20" s="453"/>
      <c r="N20" s="669"/>
      <c r="P20" s="472"/>
    </row>
    <row r="21" spans="1:18" x14ac:dyDescent="0.25">
      <c r="A21" s="466" t="s">
        <v>508</v>
      </c>
      <c r="B21" s="467">
        <f>'Page 5'!F48</f>
        <v>0</v>
      </c>
      <c r="C21" s="549">
        <v>0</v>
      </c>
      <c r="D21" s="468">
        <f>'Page 5'!G48</f>
        <v>0</v>
      </c>
      <c r="E21" s="451"/>
      <c r="F21" s="473">
        <v>0</v>
      </c>
      <c r="G21" s="550">
        <f>'Page 5'!M48</f>
        <v>0</v>
      </c>
      <c r="H21" s="468">
        <f>'Page 5'!N48</f>
        <v>0</v>
      </c>
      <c r="I21" s="450"/>
      <c r="J21" s="450"/>
      <c r="K21" s="468">
        <f t="shared" si="0"/>
        <v>0</v>
      </c>
      <c r="Q21" s="472"/>
      <c r="R21" s="472"/>
    </row>
    <row r="22" spans="1:18" x14ac:dyDescent="0.25">
      <c r="A22" s="466" t="s">
        <v>509</v>
      </c>
      <c r="B22" s="468">
        <f>'Page 8'!E23</f>
        <v>0</v>
      </c>
      <c r="C22" s="468">
        <f>'Page 8'!F23</f>
        <v>-550</v>
      </c>
      <c r="D22" s="468">
        <f>'Page 8'!G23</f>
        <v>4243</v>
      </c>
      <c r="E22" s="583">
        <f>'Page 8'!H23</f>
        <v>0</v>
      </c>
      <c r="F22" s="467">
        <f>'Page 8'!I23</f>
        <v>0</v>
      </c>
      <c r="G22" s="550">
        <f>'Page 8'!J23</f>
        <v>1643</v>
      </c>
      <c r="H22" s="468">
        <f>'Page 8'!K23</f>
        <v>3693</v>
      </c>
      <c r="I22" s="469">
        <f>'Page 8'!M23</f>
        <v>0</v>
      </c>
      <c r="J22" s="467">
        <f>'Page 8'!L23</f>
        <v>0</v>
      </c>
      <c r="K22" s="468">
        <f t="shared" si="0"/>
        <v>0</v>
      </c>
      <c r="N22" s="472"/>
      <c r="O22" s="472"/>
      <c r="P22" s="472"/>
      <c r="Q22" s="472"/>
      <c r="R22" s="472"/>
    </row>
    <row r="23" spans="1:18" x14ac:dyDescent="0.25">
      <c r="A23" s="466" t="s">
        <v>510</v>
      </c>
      <c r="B23" s="468">
        <f>'Page 8'!E40</f>
        <v>0</v>
      </c>
      <c r="C23" s="468">
        <f>'Page 8'!F40</f>
        <v>0</v>
      </c>
      <c r="D23" s="468">
        <f>'Page 8'!G40</f>
        <v>0</v>
      </c>
      <c r="E23" s="451"/>
      <c r="F23" s="467">
        <f>'Page 8'!I40</f>
        <v>0</v>
      </c>
      <c r="G23" s="471">
        <f>'Page 8'!J40</f>
        <v>0</v>
      </c>
      <c r="H23" s="470">
        <f>'Page 8'!K40</f>
        <v>0</v>
      </c>
      <c r="I23" s="467">
        <f>'Page 8'!M40</f>
        <v>0</v>
      </c>
      <c r="J23" s="467">
        <f>'Page 8'!L40</f>
        <v>0</v>
      </c>
      <c r="K23" s="468">
        <f t="shared" si="0"/>
        <v>0</v>
      </c>
    </row>
  </sheetData>
  <mergeCells count="4">
    <mergeCell ref="G8:G10"/>
    <mergeCell ref="H8:H10"/>
    <mergeCell ref="B1:C1"/>
    <mergeCell ref="D8:D10"/>
  </mergeCells>
  <conditionalFormatting sqref="B17">
    <cfRule type="containsBlanks" dxfId="22" priority="6">
      <formula>LEN(TRIM(B17))=0</formula>
    </cfRule>
  </conditionalFormatting>
  <conditionalFormatting sqref="C17:C21">
    <cfRule type="containsBlanks" dxfId="21" priority="7">
      <formula>LEN(TRIM(C17))=0</formula>
    </cfRule>
  </conditionalFormatting>
  <conditionalFormatting sqref="F17:F21">
    <cfRule type="containsBlanks" dxfId="20" priority="5">
      <formula>LEN(TRIM(F17))=0</formula>
    </cfRule>
  </conditionalFormatting>
  <conditionalFormatting sqref="G17:J17">
    <cfRule type="containsBlanks" dxfId="19" priority="1">
      <formula>LEN(TRIM(G17))=0</formula>
    </cfRule>
  </conditionalFormatting>
  <conditionalFormatting sqref="I5">
    <cfRule type="containsBlanks" priority="11">
      <formula>LEN(TRIM(I5))=0</formula>
    </cfRule>
  </conditionalFormatting>
  <conditionalFormatting sqref="I5:J5">
    <cfRule type="containsBlanks" dxfId="18" priority="8">
      <formula>LEN(TRIM(I5))=0</formula>
    </cfRule>
  </conditionalFormatting>
  <dataValidations count="1">
    <dataValidation allowBlank="1" showInputMessage="1" showErrorMessage="1" promptTitle="Reversions" prompt="Enter as a positive amount." sqref="F17:F21" xr:uid="{00000000-0002-0000-0B00-000000000000}"/>
  </dataValidations>
  <hyperlinks>
    <hyperlink ref="B9:B10" r:id="rId1" display="Beginning" xr:uid="{00000000-0004-0000-0B00-000000000000}"/>
    <hyperlink ref="B10" location="BegProjectBalances" display="Project Balance" xr:uid="{00000000-0004-0000-0B00-000001000000}"/>
    <hyperlink ref="B9" location="BegProjectBalances" display="Beginning" xr:uid="{00000000-0004-0000-0B00-000002000000}"/>
    <hyperlink ref="C8:C10" location="AdjustedBeginningProjectBalance" display="Adjusted " xr:uid="{00000000-0004-0000-0B00-000003000000}"/>
    <hyperlink ref="H4" location="SumADM" display="Avg. Daily Membership" xr:uid="{00000000-0004-0000-0B00-000004000000}"/>
  </hyperlinks>
  <pageMargins left="0.75" right="0.25" top="0.25" bottom="0.25" header="0.5" footer="0.15"/>
  <pageSetup paperSize="5" scale="62" orientation="landscape" r:id="rId2"/>
  <headerFooter>
    <oddFooter>&amp;LRev. 8/24 Arizona Department of Education and Auditor General&amp;CFY 2024</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AA46"/>
  <sheetViews>
    <sheetView showGridLines="0" zoomScaleNormal="100" workbookViewId="0">
      <selection activeCell="B42" sqref="B42:I46"/>
    </sheetView>
  </sheetViews>
  <sheetFormatPr defaultColWidth="8.77734375" defaultRowHeight="13.2" x14ac:dyDescent="0.25"/>
  <cols>
    <col min="1" max="1" width="4.6640625" customWidth="1"/>
    <col min="2" max="2" width="50.109375" customWidth="1"/>
    <col min="3" max="3" width="24" customWidth="1"/>
    <col min="4" max="4" width="24.109375" customWidth="1"/>
    <col min="5" max="5" width="26.6640625" customWidth="1"/>
    <col min="6" max="6" width="25.77734375" customWidth="1"/>
    <col min="7" max="7" width="27.6640625" customWidth="1"/>
    <col min="8" max="8" width="19.33203125" customWidth="1"/>
    <col min="9" max="9" width="11.109375" customWidth="1"/>
    <col min="10" max="10" width="8.77734375" customWidth="1"/>
  </cols>
  <sheetData>
    <row r="1" spans="1:18" s="328" customFormat="1" x14ac:dyDescent="0.25">
      <c r="B1" s="327" t="s">
        <v>0</v>
      </c>
      <c r="C1" s="630" t="str">
        <f>'Cover Page'!D1</f>
        <v>AIBT Non-Profit Charter High School</v>
      </c>
      <c r="D1" s="630"/>
      <c r="E1" s="630"/>
      <c r="G1" s="327" t="s">
        <v>1</v>
      </c>
      <c r="H1" s="808" t="str">
        <f>'Cover Page'!M1</f>
        <v>Maricopa</v>
      </c>
      <c r="I1" s="808"/>
      <c r="J1" s="329"/>
      <c r="K1" s="327" t="s">
        <v>2</v>
      </c>
      <c r="L1" s="330" t="str">
        <f>'Cover Page'!R1</f>
        <v>078286000</v>
      </c>
      <c r="M1" s="331"/>
      <c r="N1" s="331"/>
      <c r="O1" s="332"/>
      <c r="P1" s="333"/>
      <c r="R1" s="334"/>
    </row>
    <row r="2" spans="1:18" s="328" customFormat="1" x14ac:dyDescent="0.25">
      <c r="B2" s="327"/>
      <c r="C2" s="331"/>
      <c r="D2" s="331"/>
      <c r="E2" s="331"/>
      <c r="G2" s="327"/>
      <c r="H2" s="331"/>
      <c r="I2" s="331"/>
      <c r="J2" s="329"/>
      <c r="K2" s="327"/>
      <c r="L2" s="474"/>
      <c r="M2" s="331"/>
      <c r="N2" s="331"/>
      <c r="O2" s="332"/>
      <c r="P2" s="333"/>
      <c r="R2" s="334"/>
    </row>
    <row r="3" spans="1:18" s="475" customFormat="1" ht="24.75" customHeight="1" x14ac:dyDescent="0.25">
      <c r="A3" s="855" t="s">
        <v>1153</v>
      </c>
      <c r="B3" s="855"/>
      <c r="C3" s="855"/>
      <c r="D3" s="855"/>
      <c r="E3" s="855"/>
      <c r="F3" s="855"/>
      <c r="G3" s="855"/>
      <c r="H3" s="855"/>
      <c r="J3" s="476"/>
      <c r="K3" s="477"/>
      <c r="L3" s="478"/>
      <c r="Q3" s="479"/>
      <c r="R3" s="480"/>
    </row>
    <row r="4" spans="1:18" s="475" customFormat="1" ht="16.5" customHeight="1" x14ac:dyDescent="0.25">
      <c r="A4" s="481"/>
      <c r="B4" s="481"/>
      <c r="C4" s="481"/>
      <c r="D4" s="481"/>
      <c r="E4" s="481"/>
      <c r="F4" s="481"/>
      <c r="G4" s="481"/>
      <c r="H4" s="481"/>
      <c r="J4" s="476"/>
      <c r="K4" s="477"/>
      <c r="L4" s="478"/>
      <c r="Q4" s="479"/>
      <c r="R4" s="480"/>
    </row>
    <row r="5" spans="1:18" x14ac:dyDescent="0.25">
      <c r="A5" s="852" t="s">
        <v>1149</v>
      </c>
      <c r="B5" s="852"/>
    </row>
    <row r="7" spans="1:18" x14ac:dyDescent="0.25">
      <c r="C7" s="482" t="s">
        <v>511</v>
      </c>
      <c r="R7" s="50" t="s">
        <v>512</v>
      </c>
    </row>
    <row r="8" spans="1:18" x14ac:dyDescent="0.25">
      <c r="A8" s="483" t="s">
        <v>1154</v>
      </c>
      <c r="C8" s="484"/>
    </row>
    <row r="9" spans="1:18" x14ac:dyDescent="0.25">
      <c r="A9" s="485" t="s">
        <v>24</v>
      </c>
      <c r="B9" s="486" t="s">
        <v>1206</v>
      </c>
      <c r="C9" s="468">
        <f>Summary!B17+SUMIF(Summary!C18:C23,"",Summary!B18:B23)+SUMIF(Summary!C18:C23,"&lt;&gt;",Summary!C18:C23)</f>
        <v>344532</v>
      </c>
    </row>
    <row r="10" spans="1:18" x14ac:dyDescent="0.25">
      <c r="A10" s="487" t="s">
        <v>1155</v>
      </c>
      <c r="C10" s="484"/>
    </row>
    <row r="11" spans="1:18" x14ac:dyDescent="0.25">
      <c r="A11" s="485" t="s">
        <v>26</v>
      </c>
      <c r="B11" s="486" t="s">
        <v>1207</v>
      </c>
      <c r="C11" s="468">
        <f>SUM(Summary!K17:K23)</f>
        <v>489676</v>
      </c>
    </row>
    <row r="12" spans="1:18" x14ac:dyDescent="0.25">
      <c r="A12" s="852" t="s">
        <v>1212</v>
      </c>
      <c r="B12" s="852"/>
    </row>
    <row r="13" spans="1:18" x14ac:dyDescent="0.25">
      <c r="A13" s="485" t="s">
        <v>513</v>
      </c>
      <c r="B13" s="486" t="s">
        <v>514</v>
      </c>
      <c r="C13" s="105">
        <v>0</v>
      </c>
    </row>
    <row r="14" spans="1:18" x14ac:dyDescent="0.25">
      <c r="A14" s="485" t="s">
        <v>515</v>
      </c>
      <c r="B14" s="681" t="s">
        <v>1208</v>
      </c>
      <c r="C14" s="105">
        <v>0</v>
      </c>
    </row>
    <row r="15" spans="1:18" x14ac:dyDescent="0.25">
      <c r="A15" s="485" t="s">
        <v>516</v>
      </c>
      <c r="B15" t="s">
        <v>1209</v>
      </c>
      <c r="C15" s="105">
        <v>0</v>
      </c>
    </row>
    <row r="16" spans="1:18" x14ac:dyDescent="0.25">
      <c r="A16" s="485" t="s">
        <v>517</v>
      </c>
      <c r="B16" t="s">
        <v>1210</v>
      </c>
      <c r="C16" s="105">
        <v>0</v>
      </c>
    </row>
    <row r="17" spans="1:27" x14ac:dyDescent="0.25">
      <c r="A17" s="485" t="s">
        <v>518</v>
      </c>
      <c r="B17" t="s">
        <v>1211</v>
      </c>
      <c r="C17" s="105">
        <v>0</v>
      </c>
    </row>
    <row r="18" spans="1:27" x14ac:dyDescent="0.25">
      <c r="A18" s="485" t="s">
        <v>519</v>
      </c>
      <c r="B18" t="s">
        <v>520</v>
      </c>
      <c r="C18" s="105">
        <f>C11</f>
        <v>489676</v>
      </c>
    </row>
    <row r="19" spans="1:27" x14ac:dyDescent="0.25">
      <c r="A19" s="485" t="s">
        <v>521</v>
      </c>
      <c r="B19" s="488" t="s">
        <v>522</v>
      </c>
      <c r="C19" s="105">
        <v>0</v>
      </c>
    </row>
    <row r="20" spans="1:27" x14ac:dyDescent="0.25">
      <c r="A20" s="3" t="s">
        <v>523</v>
      </c>
      <c r="B20" s="488" t="s">
        <v>522</v>
      </c>
      <c r="C20" s="105">
        <v>0</v>
      </c>
    </row>
    <row r="21" spans="1:27" x14ac:dyDescent="0.25">
      <c r="A21" s="3" t="s">
        <v>524</v>
      </c>
      <c r="B21" t="s">
        <v>1150</v>
      </c>
      <c r="C21" s="550">
        <f>IF(ROUND(SUM(C13:C20),0)=ROUND(C11,0),SUM(C13:C20),"Must equal line 2")</f>
        <v>489676</v>
      </c>
    </row>
    <row r="22" spans="1:27" x14ac:dyDescent="0.25">
      <c r="A22" s="490"/>
    </row>
    <row r="23" spans="1:27" x14ac:dyDescent="0.25">
      <c r="A23" s="490"/>
    </row>
    <row r="24" spans="1:27" x14ac:dyDescent="0.25">
      <c r="A24" s="613"/>
      <c r="B24" s="613"/>
      <c r="D24" s="613"/>
      <c r="E24" s="613"/>
      <c r="F24" s="613"/>
      <c r="G24" s="613"/>
      <c r="H24" s="613"/>
    </row>
    <row r="25" spans="1:27" ht="39" customHeight="1" x14ac:dyDescent="0.25">
      <c r="A25" s="857" t="s">
        <v>1144</v>
      </c>
      <c r="B25" s="857"/>
      <c r="F25" s="658"/>
      <c r="G25" s="659" t="s">
        <v>1237</v>
      </c>
      <c r="H25" s="491"/>
      <c r="AA25" s="50" t="s">
        <v>525</v>
      </c>
    </row>
    <row r="26" spans="1:27" ht="28.5" customHeight="1" x14ac:dyDescent="0.25">
      <c r="A26" s="856" t="s">
        <v>24</v>
      </c>
      <c r="B26" s="859" t="s">
        <v>1234</v>
      </c>
      <c r="C26" s="859"/>
      <c r="D26" s="859"/>
      <c r="E26" s="860"/>
      <c r="F26" s="498" t="s">
        <v>526</v>
      </c>
      <c r="G26" s="665" t="s">
        <v>1240</v>
      </c>
      <c r="AA26" s="50" t="s">
        <v>526</v>
      </c>
    </row>
    <row r="27" spans="1:27" x14ac:dyDescent="0.25">
      <c r="A27" s="856"/>
      <c r="B27" s="661"/>
      <c r="C27" s="661"/>
      <c r="D27" s="661"/>
      <c r="E27" s="661"/>
      <c r="AA27" s="50" t="s">
        <v>526</v>
      </c>
    </row>
    <row r="28" spans="1:27" ht="44.25" customHeight="1" x14ac:dyDescent="0.25">
      <c r="A28" s="858" t="s">
        <v>1238</v>
      </c>
      <c r="B28" s="858"/>
      <c r="C28" s="858"/>
      <c r="D28" s="858"/>
      <c r="E28" s="858"/>
      <c r="F28" s="858"/>
    </row>
    <row r="29" spans="1:27" ht="20.25" customHeight="1" x14ac:dyDescent="0.25">
      <c r="A29" s="603" t="s">
        <v>26</v>
      </c>
      <c r="B29" s="853" t="s">
        <v>1145</v>
      </c>
      <c r="C29" s="853"/>
      <c r="D29" s="853"/>
      <c r="E29" s="854"/>
      <c r="F29" s="498" t="s">
        <v>526</v>
      </c>
      <c r="H29" s="491"/>
    </row>
    <row r="30" spans="1:27" ht="29.25" customHeight="1" x14ac:dyDescent="0.25">
      <c r="A30" s="603" t="s">
        <v>527</v>
      </c>
      <c r="B30" s="853" t="s">
        <v>1146</v>
      </c>
      <c r="C30" s="853"/>
      <c r="D30" s="853"/>
      <c r="E30" s="854"/>
      <c r="F30" s="498" t="s">
        <v>526</v>
      </c>
      <c r="G30" s="3"/>
      <c r="H30" s="667"/>
      <c r="AA30" s="50"/>
    </row>
    <row r="31" spans="1:27" ht="12" customHeight="1" x14ac:dyDescent="0.25">
      <c r="A31" s="492"/>
      <c r="B31" s="632"/>
      <c r="C31" s="632"/>
      <c r="D31" s="632"/>
      <c r="E31" s="632"/>
      <c r="F31" s="3"/>
      <c r="G31" s="3"/>
      <c r="H31" s="1"/>
      <c r="AA31" s="50"/>
    </row>
    <row r="32" spans="1:27" ht="15.75" customHeight="1" x14ac:dyDescent="0.25">
      <c r="A32" s="660" t="s">
        <v>1151</v>
      </c>
      <c r="B32" s="605"/>
      <c r="C32" s="605"/>
      <c r="D32" s="605"/>
      <c r="E32" s="605"/>
      <c r="F32" s="605"/>
      <c r="G32" s="493"/>
      <c r="H32" s="494"/>
    </row>
    <row r="33" spans="1:14" ht="11.25" customHeight="1" x14ac:dyDescent="0.25">
      <c r="A33" s="633"/>
      <c r="B33" s="588"/>
      <c r="C33" s="588"/>
      <c r="D33" s="588"/>
      <c r="E33" s="588"/>
      <c r="F33" s="588"/>
      <c r="G33" s="493"/>
      <c r="H33" s="494"/>
    </row>
    <row r="34" spans="1:14" ht="28.5" customHeight="1" x14ac:dyDescent="0.25">
      <c r="A34" s="604" t="s">
        <v>31</v>
      </c>
      <c r="B34" s="606" t="s">
        <v>528</v>
      </c>
      <c r="C34" s="606" t="s">
        <v>1156</v>
      </c>
      <c r="D34" s="606" t="s">
        <v>1157</v>
      </c>
      <c r="E34" s="861" t="s">
        <v>529</v>
      </c>
      <c r="F34" s="862"/>
      <c r="G34" s="862"/>
      <c r="H34" s="862"/>
      <c r="I34" s="862"/>
      <c r="J34" s="863"/>
    </row>
    <row r="35" spans="1:14" ht="39.75" customHeight="1" x14ac:dyDescent="0.25">
      <c r="A35" s="604"/>
      <c r="B35" s="673"/>
      <c r="C35" s="670"/>
      <c r="D35" s="105"/>
      <c r="E35" s="864"/>
      <c r="F35" s="865"/>
      <c r="G35" s="865"/>
      <c r="H35" s="865"/>
      <c r="I35" s="865"/>
      <c r="J35" s="866"/>
    </row>
    <row r="36" spans="1:14" ht="39.75" customHeight="1" x14ac:dyDescent="0.25">
      <c r="A36" s="604"/>
      <c r="B36" s="673"/>
      <c r="C36" s="670"/>
      <c r="D36" s="105"/>
      <c r="E36" s="864"/>
      <c r="F36" s="865"/>
      <c r="G36" s="865"/>
      <c r="H36" s="865"/>
      <c r="I36" s="865"/>
      <c r="J36" s="866"/>
    </row>
    <row r="37" spans="1:14" ht="39.75" customHeight="1" x14ac:dyDescent="0.25">
      <c r="A37" s="604"/>
      <c r="B37" s="673"/>
      <c r="C37" s="670"/>
      <c r="D37" s="105"/>
      <c r="E37" s="864"/>
      <c r="F37" s="865"/>
      <c r="G37" s="865"/>
      <c r="H37" s="865"/>
      <c r="I37" s="865"/>
      <c r="J37" s="866"/>
    </row>
    <row r="38" spans="1:14" ht="39.75" customHeight="1" x14ac:dyDescent="0.25">
      <c r="A38" s="604"/>
      <c r="B38" s="673"/>
      <c r="C38" s="670"/>
      <c r="D38" s="105"/>
      <c r="E38" s="864"/>
      <c r="F38" s="865"/>
      <c r="G38" s="865"/>
      <c r="H38" s="865"/>
      <c r="I38" s="865"/>
      <c r="J38" s="866"/>
      <c r="K38" s="495"/>
      <c r="L38" s="495"/>
      <c r="M38" s="495"/>
      <c r="N38" s="495"/>
    </row>
    <row r="39" spans="1:14" ht="16.5" customHeight="1" x14ac:dyDescent="0.25">
      <c r="A39" s="633"/>
      <c r="B39" s="607" t="s">
        <v>530</v>
      </c>
      <c r="C39" s="489">
        <f>SUM(C35:C38)</f>
        <v>0</v>
      </c>
      <c r="D39" s="592">
        <f>SUM(D35:D38)</f>
        <v>0</v>
      </c>
      <c r="E39" s="496"/>
      <c r="F39" s="486"/>
      <c r="G39" s="486"/>
      <c r="H39" s="486"/>
      <c r="I39" s="486"/>
      <c r="K39" s="495"/>
      <c r="L39" s="495"/>
      <c r="M39" s="495"/>
      <c r="N39" s="495"/>
    </row>
    <row r="40" spans="1:14" ht="16.5" customHeight="1" x14ac:dyDescent="0.25">
      <c r="A40" s="633"/>
      <c r="B40" s="632"/>
      <c r="C40" s="632"/>
      <c r="D40" s="496"/>
      <c r="E40" s="496"/>
      <c r="F40" s="486"/>
      <c r="G40" s="486"/>
      <c r="H40" s="486"/>
      <c r="I40" s="486"/>
      <c r="K40" s="495"/>
      <c r="L40" s="495"/>
      <c r="M40" s="495"/>
      <c r="N40" s="495"/>
    </row>
    <row r="41" spans="1:14" ht="19.5" customHeight="1" x14ac:dyDescent="0.25">
      <c r="A41" s="604" t="s">
        <v>33</v>
      </c>
      <c r="B41" s="181" t="s">
        <v>1152</v>
      </c>
      <c r="C41" s="181"/>
      <c r="D41" s="181"/>
      <c r="E41" s="181"/>
      <c r="F41" s="181"/>
      <c r="G41" s="181"/>
      <c r="H41" s="181"/>
      <c r="I41" s="181"/>
      <c r="K41" s="495"/>
      <c r="L41" s="495"/>
      <c r="M41" s="495"/>
      <c r="N41" s="495"/>
    </row>
    <row r="42" spans="1:14" x14ac:dyDescent="0.25">
      <c r="A42" s="497"/>
      <c r="B42" s="886" t="s">
        <v>1335</v>
      </c>
      <c r="C42" s="887"/>
      <c r="D42" s="887"/>
      <c r="E42" s="887"/>
      <c r="F42" s="887"/>
      <c r="G42" s="887"/>
      <c r="H42" s="887"/>
      <c r="I42" s="887"/>
    </row>
    <row r="43" spans="1:14" x14ac:dyDescent="0.25">
      <c r="A43" s="608"/>
      <c r="B43" s="888"/>
      <c r="C43" s="889"/>
      <c r="D43" s="889"/>
      <c r="E43" s="889"/>
      <c r="F43" s="889"/>
      <c r="G43" s="889"/>
      <c r="H43" s="889"/>
      <c r="I43" s="889"/>
    </row>
    <row r="44" spans="1:14" ht="12.75" customHeight="1" x14ac:dyDescent="0.25">
      <c r="A44" s="608"/>
      <c r="B44" s="888"/>
      <c r="C44" s="889"/>
      <c r="D44" s="889"/>
      <c r="E44" s="889"/>
      <c r="F44" s="889"/>
      <c r="G44" s="889"/>
      <c r="H44" s="889"/>
      <c r="I44" s="889"/>
    </row>
    <row r="45" spans="1:14" x14ac:dyDescent="0.25">
      <c r="A45" s="608"/>
      <c r="B45" s="888"/>
      <c r="C45" s="889"/>
      <c r="D45" s="889"/>
      <c r="E45" s="889"/>
      <c r="F45" s="889"/>
      <c r="G45" s="889"/>
      <c r="H45" s="889"/>
      <c r="I45" s="889"/>
    </row>
    <row r="46" spans="1:14" x14ac:dyDescent="0.25">
      <c r="A46" s="608"/>
      <c r="B46" s="890"/>
      <c r="C46" s="891"/>
      <c r="D46" s="891"/>
      <c r="E46" s="891"/>
      <c r="F46" s="891"/>
      <c r="G46" s="891"/>
      <c r="H46" s="891"/>
      <c r="I46" s="891"/>
    </row>
  </sheetData>
  <mergeCells count="16">
    <mergeCell ref="B42:I46"/>
    <mergeCell ref="E34:J34"/>
    <mergeCell ref="E35:J35"/>
    <mergeCell ref="E36:J36"/>
    <mergeCell ref="E37:J37"/>
    <mergeCell ref="E38:J38"/>
    <mergeCell ref="H1:I1"/>
    <mergeCell ref="A5:B5"/>
    <mergeCell ref="B30:E30"/>
    <mergeCell ref="A3:H3"/>
    <mergeCell ref="A12:B12"/>
    <mergeCell ref="A26:A27"/>
    <mergeCell ref="A25:B25"/>
    <mergeCell ref="A28:F28"/>
    <mergeCell ref="B29:E29"/>
    <mergeCell ref="B26:E26"/>
  </mergeCells>
  <conditionalFormatting sqref="B42">
    <cfRule type="expression" dxfId="17" priority="7">
      <formula>$F$30="No"</formula>
    </cfRule>
    <cfRule type="containsBlanks" dxfId="16" priority="8">
      <formula>LEN(TRIM(B42))=0</formula>
    </cfRule>
  </conditionalFormatting>
  <conditionalFormatting sqref="B35:E38">
    <cfRule type="containsBlanks" dxfId="15" priority="10">
      <formula>LEN(TRIM(B35))=0</formula>
    </cfRule>
  </conditionalFormatting>
  <conditionalFormatting sqref="C13:C20 F26:G26">
    <cfRule type="containsBlanks" dxfId="14" priority="35">
      <formula>LEN(TRIM(C13))=0</formula>
    </cfRule>
  </conditionalFormatting>
  <conditionalFormatting sqref="C39:D39">
    <cfRule type="containsBlanks" dxfId="13" priority="4">
      <formula>LEN(TRIM(C39))=0</formula>
    </cfRule>
  </conditionalFormatting>
  <conditionalFormatting sqref="F29:F30">
    <cfRule type="containsBlanks" dxfId="12" priority="9">
      <formula>LEN(TRIM(F29))=0</formula>
    </cfRule>
  </conditionalFormatting>
  <conditionalFormatting sqref="G26 F29:F30 B35:J38">
    <cfRule type="expression" dxfId="11" priority="1">
      <formula>$F$26="No"</formula>
    </cfRule>
  </conditionalFormatting>
  <dataValidations count="5">
    <dataValidation type="list" allowBlank="1" showInputMessage="1" showErrorMessage="1" sqref="F31" xr:uid="{00000000-0002-0000-0C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C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C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C00-000003000000}">
      <formula1>9</formula1>
    </dataValidation>
    <dataValidation type="list" allowBlank="1" showInputMessage="1" showErrorMessage="1" sqref="F26 F29:F30" xr:uid="{00000000-0002-0000-0C00-000004000000}">
      <formula1>$AA$25:$AA$26</formula1>
    </dataValidation>
  </dataValidations>
  <hyperlinks>
    <hyperlink ref="A12" location="ReserveBalSecAl3" display="FY 2023 ending reserve details:" xr:uid="{00000000-0004-0000-0C00-000000000000}"/>
    <hyperlink ref="A18" location="ReserveBalSecAl3f" display="3.f" xr:uid="{00000000-0004-0000-0C00-000001000000}"/>
    <hyperlink ref="A19" location="ReserveBalSecAl3g" display="3.g" xr:uid="{00000000-0004-0000-0C00-000002000000}"/>
    <hyperlink ref="A13" location="ReserveBalSecAl3a" display="3.a" xr:uid="{00000000-0004-0000-0C00-000003000000}"/>
    <hyperlink ref="A16" location="ReserveBalSecAl3d" display="3.d" xr:uid="{00000000-0004-0000-0C00-000004000000}"/>
    <hyperlink ref="A15" location="ReserveBalSecAl3c" display="3.c" xr:uid="{00000000-0004-0000-0C00-000005000000}"/>
    <hyperlink ref="A14" location="ReserveBalSecAl3b" display="3.b" xr:uid="{00000000-0004-0000-0C00-000006000000}"/>
    <hyperlink ref="A11" location="ReserveBalSecAl2" display="2." xr:uid="{00000000-0004-0000-0C00-000007000000}"/>
    <hyperlink ref="A9" location="ReserveBalSecAl1" display="1." xr:uid="{00000000-0004-0000-0C00-000008000000}"/>
    <hyperlink ref="A5" location="ReserveBalSecA" display="A. FY 2023 change in reserve amounts and planned allocations" xr:uid="{00000000-0004-0000-0C00-000009000000}"/>
    <hyperlink ref="A17" location="ReserveBalSecAl3e" display="3.e" xr:uid="{00000000-0004-0000-0C00-00000A000000}"/>
  </hyperlinks>
  <pageMargins left="0.75" right="0.25" top="0.25" bottom="0.25" header="0.5" footer="0.15"/>
  <pageSetup paperSize="5" scale="69" orientation="landscape" r:id="rId1"/>
  <headerFooter>
    <oddFooter>&amp;LRev. 8/24 Arizona Department of Education and Auditor General&amp;CFY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zoomScaleNormal="100" workbookViewId="0">
      <selection activeCell="D4" sqref="D4:G4"/>
    </sheetView>
  </sheetViews>
  <sheetFormatPr defaultColWidth="9.6640625" defaultRowHeight="13.8" x14ac:dyDescent="0.25"/>
  <cols>
    <col min="1" max="1" width="25.6640625" style="504" customWidth="1"/>
    <col min="2" max="2" width="76.6640625" style="504" customWidth="1"/>
    <col min="3" max="4" width="23.6640625" style="504" customWidth="1"/>
    <col min="5" max="6" width="26.77734375" style="504" customWidth="1"/>
    <col min="7" max="7" width="45.77734375" style="504" customWidth="1"/>
    <col min="8" max="11" width="9.6640625" style="504" customWidth="1"/>
    <col min="12" max="12" width="8.77734375" style="504" hidden="1" customWidth="1"/>
    <col min="13" max="16" width="9.6640625" style="504" customWidth="1"/>
    <col min="17" max="16384" width="9.6640625" style="504"/>
  </cols>
  <sheetData>
    <row r="1" spans="1:12" x14ac:dyDescent="0.25">
      <c r="A1" s="502" t="s">
        <v>4</v>
      </c>
      <c r="B1" s="503" t="str">
        <f>'Cover Page'!D1</f>
        <v>AIBT Non-Profit Charter High School</v>
      </c>
    </row>
    <row r="2" spans="1:12" x14ac:dyDescent="0.25">
      <c r="A2" s="505" t="s">
        <v>2</v>
      </c>
      <c r="B2" s="506" t="str">
        <f>'Cover Page'!R1</f>
        <v>078286000</v>
      </c>
    </row>
    <row r="3" spans="1:12" x14ac:dyDescent="0.25">
      <c r="A3" s="505" t="s">
        <v>1</v>
      </c>
      <c r="B3" s="503" t="str">
        <f>'Cover Page'!M1</f>
        <v>Maricopa</v>
      </c>
    </row>
    <row r="4" spans="1:12" x14ac:dyDescent="0.25">
      <c r="D4" s="867" t="s">
        <v>541</v>
      </c>
      <c r="E4" s="868"/>
      <c r="F4" s="868"/>
      <c r="G4" s="869"/>
    </row>
    <row r="6" spans="1:12" ht="27.6" x14ac:dyDescent="0.25">
      <c r="A6" s="507" t="s">
        <v>542</v>
      </c>
      <c r="B6" s="508" t="s">
        <v>543</v>
      </c>
      <c r="C6" s="507" t="s">
        <v>544</v>
      </c>
      <c r="D6" s="509" t="s">
        <v>545</v>
      </c>
      <c r="E6" s="507" t="s">
        <v>546</v>
      </c>
      <c r="F6" s="507" t="s">
        <v>547</v>
      </c>
      <c r="G6" s="507" t="s">
        <v>548</v>
      </c>
    </row>
    <row r="7" spans="1:12" x14ac:dyDescent="0.25">
      <c r="A7" s="510" t="s">
        <v>549</v>
      </c>
      <c r="B7" s="511" t="s">
        <v>549</v>
      </c>
      <c r="C7" s="512" t="str">
        <f>B2</f>
        <v>078286000</v>
      </c>
      <c r="D7" s="7">
        <f>Summary!J5</f>
        <v>16.693000000000001</v>
      </c>
      <c r="E7" s="5">
        <v>201</v>
      </c>
      <c r="F7" s="8">
        <v>201</v>
      </c>
      <c r="G7" s="9"/>
      <c r="L7" s="504" t="s">
        <v>550</v>
      </c>
    </row>
    <row r="8" spans="1:12" ht="13.5" customHeight="1" x14ac:dyDescent="0.25">
      <c r="A8" s="516" t="s">
        <v>551</v>
      </c>
      <c r="B8" s="517"/>
      <c r="C8" s="517"/>
      <c r="D8" s="517"/>
      <c r="E8" s="5"/>
      <c r="F8" s="8"/>
      <c r="G8" s="5"/>
      <c r="L8" s="504" t="s">
        <v>552</v>
      </c>
    </row>
    <row r="9" spans="1:12" x14ac:dyDescent="0.25">
      <c r="A9" s="510" t="s">
        <v>553</v>
      </c>
      <c r="B9" s="517"/>
      <c r="C9" s="517"/>
      <c r="D9" s="517"/>
      <c r="E9" s="517"/>
      <c r="F9" s="8"/>
      <c r="G9" s="517"/>
      <c r="L9" s="504" t="s">
        <v>554</v>
      </c>
    </row>
    <row r="10" spans="1:12" x14ac:dyDescent="0.25">
      <c r="A10" s="510" t="s">
        <v>555</v>
      </c>
      <c r="B10" s="5" t="s">
        <v>1325</v>
      </c>
      <c r="C10" s="6" t="s">
        <v>1328</v>
      </c>
      <c r="D10" s="7">
        <f>D7</f>
        <v>16.693000000000001</v>
      </c>
      <c r="E10" s="5">
        <v>201</v>
      </c>
      <c r="F10" s="8">
        <v>201</v>
      </c>
      <c r="G10" s="9"/>
      <c r="L10" s="504" t="s">
        <v>556</v>
      </c>
    </row>
    <row r="11" spans="1:12" x14ac:dyDescent="0.25">
      <c r="A11" s="510" t="s">
        <v>557</v>
      </c>
      <c r="B11" s="5"/>
      <c r="C11" s="6"/>
      <c r="D11" s="7"/>
      <c r="E11" s="5"/>
      <c r="F11" s="8"/>
      <c r="G11" s="9"/>
      <c r="L11" s="504" t="s">
        <v>558</v>
      </c>
    </row>
    <row r="12" spans="1:12" x14ac:dyDescent="0.25">
      <c r="A12" s="510" t="s">
        <v>559</v>
      </c>
      <c r="B12" s="5"/>
      <c r="C12" s="6"/>
      <c r="D12" s="7"/>
      <c r="E12" s="5"/>
      <c r="F12" s="8"/>
      <c r="G12" s="9"/>
      <c r="L12" s="504" t="s">
        <v>560</v>
      </c>
    </row>
    <row r="13" spans="1:12" x14ac:dyDescent="0.25">
      <c r="A13" s="510" t="s">
        <v>561</v>
      </c>
      <c r="B13" s="5"/>
      <c r="C13" s="6"/>
      <c r="D13" s="7"/>
      <c r="E13" s="5"/>
      <c r="F13" s="8"/>
      <c r="G13" s="9"/>
      <c r="L13" s="504" t="s">
        <v>562</v>
      </c>
    </row>
    <row r="14" spans="1:12" x14ac:dyDescent="0.25">
      <c r="A14" s="510" t="s">
        <v>563</v>
      </c>
      <c r="B14" s="5"/>
      <c r="C14" s="6"/>
      <c r="D14" s="7"/>
      <c r="E14" s="5"/>
      <c r="F14" s="8"/>
      <c r="G14" s="9"/>
      <c r="L14" s="504" t="s">
        <v>564</v>
      </c>
    </row>
    <row r="15" spans="1:12" x14ac:dyDescent="0.25">
      <c r="A15" s="510" t="s">
        <v>565</v>
      </c>
      <c r="B15" s="5"/>
      <c r="C15" s="6"/>
      <c r="D15" s="7"/>
      <c r="E15" s="5"/>
      <c r="F15" s="8"/>
      <c r="G15" s="9"/>
      <c r="L15" s="504" t="s">
        <v>566</v>
      </c>
    </row>
    <row r="16" spans="1:12" x14ac:dyDescent="0.25">
      <c r="A16" s="510" t="s">
        <v>567</v>
      </c>
      <c r="B16" s="5"/>
      <c r="C16" s="6"/>
      <c r="D16" s="7"/>
      <c r="E16" s="5"/>
      <c r="F16" s="8"/>
      <c r="G16" s="9"/>
      <c r="L16" s="504" t="s">
        <v>568</v>
      </c>
    </row>
    <row r="17" spans="1:12" x14ac:dyDescent="0.25">
      <c r="A17" s="510" t="s">
        <v>569</v>
      </c>
      <c r="B17" s="5"/>
      <c r="C17" s="6"/>
      <c r="D17" s="7"/>
      <c r="E17" s="5"/>
      <c r="F17" s="8"/>
      <c r="G17" s="9"/>
      <c r="L17" s="504" t="s">
        <v>570</v>
      </c>
    </row>
    <row r="18" spans="1:12" x14ac:dyDescent="0.25">
      <c r="A18" s="510" t="s">
        <v>571</v>
      </c>
      <c r="B18" s="5"/>
      <c r="C18" s="6"/>
      <c r="D18" s="7"/>
      <c r="E18" s="5"/>
      <c r="F18" s="8"/>
      <c r="G18" s="9"/>
      <c r="L18" s="504" t="s">
        <v>572</v>
      </c>
    </row>
    <row r="19" spans="1:12" x14ac:dyDescent="0.25">
      <c r="A19" s="510" t="s">
        <v>573</v>
      </c>
      <c r="B19" s="5"/>
      <c r="C19" s="6"/>
      <c r="D19" s="7"/>
      <c r="E19" s="5"/>
      <c r="F19" s="8"/>
      <c r="G19" s="9"/>
      <c r="L19" s="504" t="s">
        <v>574</v>
      </c>
    </row>
    <row r="20" spans="1:12" x14ac:dyDescent="0.25">
      <c r="A20" s="510" t="s">
        <v>575</v>
      </c>
      <c r="B20" s="5"/>
      <c r="C20" s="6"/>
      <c r="D20" s="7"/>
      <c r="E20" s="5"/>
      <c r="F20" s="8"/>
      <c r="G20" s="9"/>
      <c r="L20" s="504" t="s">
        <v>576</v>
      </c>
    </row>
    <row r="21" spans="1:12" x14ac:dyDescent="0.25">
      <c r="A21" s="510" t="s">
        <v>577</v>
      </c>
      <c r="B21" s="5"/>
      <c r="C21" s="6"/>
      <c r="D21" s="7"/>
      <c r="E21" s="5"/>
      <c r="F21" s="8"/>
      <c r="G21" s="9"/>
      <c r="L21" s="504" t="s">
        <v>578</v>
      </c>
    </row>
    <row r="22" spans="1:12" x14ac:dyDescent="0.25">
      <c r="A22" s="510" t="s">
        <v>579</v>
      </c>
      <c r="B22" s="5"/>
      <c r="C22" s="6"/>
      <c r="D22" s="7"/>
      <c r="E22" s="5"/>
      <c r="F22" s="8"/>
      <c r="G22" s="9"/>
      <c r="L22" s="504" t="s">
        <v>580</v>
      </c>
    </row>
    <row r="23" spans="1:12" x14ac:dyDescent="0.25">
      <c r="A23" s="510" t="s">
        <v>581</v>
      </c>
      <c r="B23" s="5"/>
      <c r="C23" s="6"/>
      <c r="D23" s="7"/>
      <c r="E23" s="5"/>
      <c r="F23" s="8"/>
      <c r="G23" s="9"/>
      <c r="L23" s="504" t="s">
        <v>582</v>
      </c>
    </row>
    <row r="24" spans="1:12" x14ac:dyDescent="0.25">
      <c r="A24" s="510" t="s">
        <v>583</v>
      </c>
      <c r="B24" s="5"/>
      <c r="C24" s="6"/>
      <c r="D24" s="7"/>
      <c r="E24" s="5"/>
      <c r="F24" s="8"/>
      <c r="G24" s="9"/>
      <c r="L24" s="504" t="s">
        <v>584</v>
      </c>
    </row>
    <row r="25" spans="1:12" hidden="1" x14ac:dyDescent="0.25">
      <c r="A25" s="510" t="s">
        <v>585</v>
      </c>
      <c r="B25" s="510"/>
      <c r="C25" s="512"/>
      <c r="D25" s="513"/>
      <c r="E25" s="510"/>
      <c r="F25" s="514"/>
      <c r="G25" s="515"/>
      <c r="L25" s="504" t="s">
        <v>586</v>
      </c>
    </row>
    <row r="26" spans="1:12" hidden="1" x14ac:dyDescent="0.25">
      <c r="A26" s="510" t="s">
        <v>587</v>
      </c>
      <c r="B26" s="510"/>
      <c r="C26" s="512"/>
      <c r="D26" s="513"/>
      <c r="E26" s="510"/>
      <c r="F26" s="514"/>
      <c r="G26" s="515"/>
      <c r="L26" s="504" t="s">
        <v>588</v>
      </c>
    </row>
    <row r="27" spans="1:12" hidden="1" x14ac:dyDescent="0.25">
      <c r="A27" s="510" t="s">
        <v>589</v>
      </c>
      <c r="B27" s="510"/>
      <c r="C27" s="512"/>
      <c r="D27" s="513"/>
      <c r="E27" s="510"/>
      <c r="F27" s="514"/>
      <c r="G27" s="515"/>
      <c r="L27" s="504" t="s">
        <v>590</v>
      </c>
    </row>
    <row r="28" spans="1:12" hidden="1" x14ac:dyDescent="0.25">
      <c r="A28" s="510" t="s">
        <v>591</v>
      </c>
      <c r="B28" s="510"/>
      <c r="C28" s="512"/>
      <c r="D28" s="513"/>
      <c r="E28" s="510"/>
      <c r="F28" s="514"/>
      <c r="G28" s="515"/>
      <c r="L28" s="504" t="s">
        <v>592</v>
      </c>
    </row>
    <row r="29" spans="1:12" hidden="1" x14ac:dyDescent="0.25">
      <c r="A29" s="510" t="s">
        <v>593</v>
      </c>
      <c r="B29" s="510"/>
      <c r="C29" s="512"/>
      <c r="D29" s="513"/>
      <c r="E29" s="510"/>
      <c r="F29" s="514"/>
      <c r="G29" s="515"/>
      <c r="L29" s="504" t="s">
        <v>594</v>
      </c>
    </row>
    <row r="30" spans="1:12" hidden="1" x14ac:dyDescent="0.25">
      <c r="A30" s="510" t="s">
        <v>595</v>
      </c>
      <c r="B30" s="510"/>
      <c r="C30" s="512"/>
      <c r="D30" s="513"/>
      <c r="E30" s="510"/>
      <c r="F30" s="514"/>
      <c r="G30" s="515"/>
      <c r="L30" s="504" t="s">
        <v>596</v>
      </c>
    </row>
    <row r="31" spans="1:12" hidden="1" x14ac:dyDescent="0.25">
      <c r="A31" s="510" t="s">
        <v>597</v>
      </c>
      <c r="B31" s="510"/>
      <c r="C31" s="512"/>
      <c r="D31" s="513"/>
      <c r="E31" s="510"/>
      <c r="F31" s="514"/>
      <c r="G31" s="515"/>
      <c r="L31" s="504" t="s">
        <v>598</v>
      </c>
    </row>
    <row r="32" spans="1:12" hidden="1" x14ac:dyDescent="0.25">
      <c r="A32" s="510" t="s">
        <v>599</v>
      </c>
      <c r="B32" s="510"/>
      <c r="C32" s="512"/>
      <c r="D32" s="513"/>
      <c r="E32" s="510"/>
      <c r="F32" s="514"/>
      <c r="G32" s="515"/>
      <c r="L32" s="504" t="s">
        <v>600</v>
      </c>
    </row>
    <row r="33" spans="1:12" hidden="1" x14ac:dyDescent="0.25">
      <c r="A33" s="510" t="s">
        <v>601</v>
      </c>
      <c r="B33" s="510"/>
      <c r="C33" s="512"/>
      <c r="D33" s="513"/>
      <c r="E33" s="510"/>
      <c r="F33" s="514"/>
      <c r="G33" s="515"/>
      <c r="L33" s="504" t="s">
        <v>602</v>
      </c>
    </row>
    <row r="34" spans="1:12" hidden="1" x14ac:dyDescent="0.25">
      <c r="A34" s="510" t="s">
        <v>603</v>
      </c>
      <c r="B34" s="510"/>
      <c r="C34" s="512"/>
      <c r="D34" s="513"/>
      <c r="E34" s="510"/>
      <c r="F34" s="514"/>
      <c r="G34" s="515"/>
      <c r="L34" s="504" t="s">
        <v>604</v>
      </c>
    </row>
    <row r="35" spans="1:12" hidden="1" x14ac:dyDescent="0.25">
      <c r="A35" s="510" t="s">
        <v>605</v>
      </c>
      <c r="B35" s="510"/>
      <c r="C35" s="512"/>
      <c r="D35" s="513"/>
      <c r="E35" s="510"/>
      <c r="F35" s="514"/>
      <c r="G35" s="515"/>
      <c r="L35" s="504" t="s">
        <v>606</v>
      </c>
    </row>
    <row r="36" spans="1:12" hidden="1" x14ac:dyDescent="0.25">
      <c r="A36" s="510" t="s">
        <v>607</v>
      </c>
      <c r="B36" s="510"/>
      <c r="C36" s="512"/>
      <c r="D36" s="513"/>
      <c r="E36" s="510"/>
      <c r="F36" s="514"/>
      <c r="G36" s="515"/>
      <c r="L36" s="504" t="s">
        <v>608</v>
      </c>
    </row>
    <row r="37" spans="1:12" hidden="1" x14ac:dyDescent="0.25">
      <c r="A37" s="510" t="s">
        <v>609</v>
      </c>
      <c r="B37" s="510"/>
      <c r="C37" s="512"/>
      <c r="D37" s="513"/>
      <c r="E37" s="510"/>
      <c r="F37" s="514"/>
      <c r="G37" s="515"/>
      <c r="L37" s="504" t="s">
        <v>610</v>
      </c>
    </row>
    <row r="38" spans="1:12" hidden="1" x14ac:dyDescent="0.25">
      <c r="A38" s="510" t="s">
        <v>611</v>
      </c>
      <c r="B38" s="510"/>
      <c r="C38" s="512"/>
      <c r="D38" s="513"/>
      <c r="E38" s="510"/>
      <c r="F38" s="514"/>
      <c r="G38" s="515"/>
      <c r="L38" s="504" t="s">
        <v>612</v>
      </c>
    </row>
    <row r="39" spans="1:12" hidden="1" x14ac:dyDescent="0.25">
      <c r="A39" s="510" t="s">
        <v>613</v>
      </c>
      <c r="B39" s="510"/>
      <c r="C39" s="512"/>
      <c r="D39" s="513"/>
      <c r="E39" s="510"/>
      <c r="F39" s="514"/>
      <c r="G39" s="515"/>
      <c r="L39" s="504" t="s">
        <v>614</v>
      </c>
    </row>
    <row r="40" spans="1:12" hidden="1" x14ac:dyDescent="0.25">
      <c r="A40" s="510" t="s">
        <v>615</v>
      </c>
      <c r="B40" s="510"/>
      <c r="C40" s="512"/>
      <c r="D40" s="513"/>
      <c r="E40" s="510"/>
      <c r="F40" s="514"/>
      <c r="G40" s="515"/>
      <c r="L40" s="504" t="s">
        <v>616</v>
      </c>
    </row>
    <row r="41" spans="1:12" hidden="1" x14ac:dyDescent="0.25">
      <c r="A41" s="510" t="s">
        <v>617</v>
      </c>
      <c r="B41" s="510"/>
      <c r="C41" s="512"/>
      <c r="D41" s="513"/>
      <c r="E41" s="510"/>
      <c r="F41" s="514"/>
      <c r="G41" s="515"/>
      <c r="L41" s="504" t="s">
        <v>618</v>
      </c>
    </row>
    <row r="42" spans="1:12" hidden="1" x14ac:dyDescent="0.25">
      <c r="A42" s="510" t="s">
        <v>619</v>
      </c>
      <c r="B42" s="510"/>
      <c r="C42" s="512"/>
      <c r="D42" s="513"/>
      <c r="E42" s="510"/>
      <c r="F42" s="514"/>
      <c r="G42" s="515"/>
      <c r="L42" s="504" t="s">
        <v>620</v>
      </c>
    </row>
    <row r="43" spans="1:12" hidden="1" x14ac:dyDescent="0.25">
      <c r="A43" s="510" t="s">
        <v>621</v>
      </c>
      <c r="B43" s="510"/>
      <c r="C43" s="512"/>
      <c r="D43" s="513"/>
      <c r="E43" s="510"/>
      <c r="F43" s="514"/>
      <c r="G43" s="515"/>
      <c r="L43" s="504" t="s">
        <v>622</v>
      </c>
    </row>
    <row r="44" spans="1:12" hidden="1" x14ac:dyDescent="0.25">
      <c r="A44" s="510" t="s">
        <v>623</v>
      </c>
      <c r="B44" s="510"/>
      <c r="C44" s="512"/>
      <c r="D44" s="513"/>
      <c r="E44" s="510"/>
      <c r="F44" s="514"/>
      <c r="G44" s="515"/>
      <c r="L44" s="504" t="s">
        <v>624</v>
      </c>
    </row>
    <row r="45" spans="1:12" hidden="1" x14ac:dyDescent="0.25">
      <c r="A45" s="510" t="s">
        <v>625</v>
      </c>
      <c r="B45" s="510"/>
      <c r="C45" s="512"/>
      <c r="D45" s="513"/>
      <c r="E45" s="510"/>
      <c r="F45" s="514"/>
      <c r="G45" s="515"/>
      <c r="L45" s="504" t="s">
        <v>626</v>
      </c>
    </row>
    <row r="46" spans="1:12" hidden="1" x14ac:dyDescent="0.25">
      <c r="A46" s="510" t="s">
        <v>627</v>
      </c>
      <c r="B46" s="510"/>
      <c r="C46" s="512"/>
      <c r="D46" s="513"/>
      <c r="E46" s="510"/>
      <c r="F46" s="514"/>
      <c r="G46" s="515"/>
      <c r="L46" s="504" t="s">
        <v>628</v>
      </c>
    </row>
    <row r="47" spans="1:12" hidden="1" x14ac:dyDescent="0.25">
      <c r="A47" s="510" t="s">
        <v>629</v>
      </c>
      <c r="B47" s="510"/>
      <c r="C47" s="512"/>
      <c r="D47" s="513"/>
      <c r="E47" s="510"/>
      <c r="F47" s="514"/>
      <c r="G47" s="515"/>
      <c r="L47" s="504" t="s">
        <v>630</v>
      </c>
    </row>
    <row r="48" spans="1:12" hidden="1" x14ac:dyDescent="0.25">
      <c r="A48" s="510" t="s">
        <v>631</v>
      </c>
      <c r="B48" s="510"/>
      <c r="C48" s="512"/>
      <c r="D48" s="513"/>
      <c r="E48" s="510"/>
      <c r="F48" s="514"/>
      <c r="G48" s="515"/>
      <c r="L48" s="504" t="s">
        <v>632</v>
      </c>
    </row>
    <row r="49" spans="1:12" hidden="1" x14ac:dyDescent="0.25">
      <c r="A49" s="510" t="s">
        <v>633</v>
      </c>
      <c r="B49" s="510"/>
      <c r="C49" s="512"/>
      <c r="D49" s="513"/>
      <c r="E49" s="510"/>
      <c r="F49" s="514"/>
      <c r="G49" s="515"/>
      <c r="L49" s="504" t="s">
        <v>634</v>
      </c>
    </row>
    <row r="50" spans="1:12" hidden="1" x14ac:dyDescent="0.25">
      <c r="A50" s="510" t="s">
        <v>635</v>
      </c>
      <c r="B50" s="510"/>
      <c r="C50" s="512"/>
      <c r="D50" s="513"/>
      <c r="E50" s="510"/>
      <c r="F50" s="514"/>
      <c r="G50" s="515"/>
      <c r="L50" s="504" t="s">
        <v>636</v>
      </c>
    </row>
    <row r="51" spans="1:12" hidden="1" x14ac:dyDescent="0.25">
      <c r="A51" s="510" t="s">
        <v>637</v>
      </c>
      <c r="B51" s="510"/>
      <c r="C51" s="512"/>
      <c r="D51" s="513"/>
      <c r="E51" s="510"/>
      <c r="F51" s="514"/>
      <c r="G51" s="515"/>
      <c r="L51" s="504" t="s">
        <v>638</v>
      </c>
    </row>
    <row r="52" spans="1:12" hidden="1" x14ac:dyDescent="0.25">
      <c r="A52" s="510" t="s">
        <v>639</v>
      </c>
      <c r="B52" s="510"/>
      <c r="C52" s="512"/>
      <c r="D52" s="513"/>
      <c r="E52" s="510"/>
      <c r="F52" s="514"/>
      <c r="G52" s="515"/>
      <c r="L52" s="504" t="s">
        <v>640</v>
      </c>
    </row>
    <row r="53" spans="1:12" hidden="1" x14ac:dyDescent="0.25">
      <c r="A53" s="510" t="s">
        <v>641</v>
      </c>
      <c r="B53" s="510"/>
      <c r="C53" s="512"/>
      <c r="D53" s="513"/>
      <c r="E53" s="510"/>
      <c r="F53" s="514"/>
      <c r="G53" s="515"/>
      <c r="L53" s="504" t="s">
        <v>642</v>
      </c>
    </row>
    <row r="54" spans="1:12" hidden="1" x14ac:dyDescent="0.25">
      <c r="A54" s="510" t="s">
        <v>643</v>
      </c>
      <c r="B54" s="510"/>
      <c r="C54" s="512"/>
      <c r="D54" s="513"/>
      <c r="E54" s="510"/>
      <c r="F54" s="514"/>
      <c r="G54" s="515"/>
      <c r="L54" s="504" t="s">
        <v>644</v>
      </c>
    </row>
    <row r="55" spans="1:12" hidden="1" x14ac:dyDescent="0.25">
      <c r="A55" s="510" t="s">
        <v>645</v>
      </c>
      <c r="B55" s="510"/>
      <c r="C55" s="512"/>
      <c r="D55" s="513"/>
      <c r="E55" s="510"/>
      <c r="F55" s="514"/>
      <c r="G55" s="515"/>
      <c r="L55" s="504" t="s">
        <v>646</v>
      </c>
    </row>
    <row r="56" spans="1:12" hidden="1" x14ac:dyDescent="0.25">
      <c r="A56" s="510" t="s">
        <v>647</v>
      </c>
      <c r="B56" s="510"/>
      <c r="C56" s="512"/>
      <c r="D56" s="513"/>
      <c r="E56" s="510"/>
      <c r="F56" s="514"/>
      <c r="G56" s="515"/>
      <c r="L56" s="504" t="s">
        <v>648</v>
      </c>
    </row>
    <row r="57" spans="1:12" hidden="1" x14ac:dyDescent="0.25">
      <c r="A57" s="510" t="s">
        <v>649</v>
      </c>
      <c r="B57" s="510"/>
      <c r="C57" s="512"/>
      <c r="D57" s="513"/>
      <c r="E57" s="510"/>
      <c r="F57" s="514"/>
      <c r="G57" s="515"/>
      <c r="L57" s="504" t="s">
        <v>650</v>
      </c>
    </row>
    <row r="58" spans="1:12" hidden="1" x14ac:dyDescent="0.25">
      <c r="A58" s="510" t="s">
        <v>651</v>
      </c>
      <c r="B58" s="510"/>
      <c r="C58" s="512"/>
      <c r="D58" s="513"/>
      <c r="E58" s="510"/>
      <c r="F58" s="514"/>
      <c r="G58" s="515"/>
      <c r="L58" s="504" t="s">
        <v>652</v>
      </c>
    </row>
    <row r="59" spans="1:12" hidden="1" x14ac:dyDescent="0.25">
      <c r="A59" s="510" t="s">
        <v>653</v>
      </c>
      <c r="B59" s="510"/>
      <c r="C59" s="512"/>
      <c r="D59" s="513"/>
      <c r="E59" s="510"/>
      <c r="F59" s="514"/>
      <c r="G59" s="515"/>
      <c r="L59" s="504" t="s">
        <v>654</v>
      </c>
    </row>
    <row r="60" spans="1:12" hidden="1" x14ac:dyDescent="0.25">
      <c r="A60" s="510" t="s">
        <v>655</v>
      </c>
      <c r="B60" s="510"/>
      <c r="C60" s="512"/>
      <c r="D60" s="513"/>
      <c r="E60" s="510"/>
      <c r="F60" s="514"/>
      <c r="G60" s="515"/>
      <c r="L60" s="504" t="s">
        <v>656</v>
      </c>
    </row>
    <row r="61" spans="1:12" hidden="1" x14ac:dyDescent="0.25">
      <c r="A61" s="510" t="s">
        <v>657</v>
      </c>
      <c r="B61" s="510"/>
      <c r="C61" s="512"/>
      <c r="D61" s="513"/>
      <c r="E61" s="510"/>
      <c r="F61" s="514"/>
      <c r="G61" s="515"/>
      <c r="L61" s="504" t="s">
        <v>658</v>
      </c>
    </row>
    <row r="62" spans="1:12" hidden="1" x14ac:dyDescent="0.25">
      <c r="A62" s="510" t="s">
        <v>659</v>
      </c>
      <c r="B62" s="510"/>
      <c r="C62" s="512"/>
      <c r="D62" s="513"/>
      <c r="E62" s="510"/>
      <c r="F62" s="514"/>
      <c r="G62" s="515"/>
      <c r="L62" s="504" t="s">
        <v>660</v>
      </c>
    </row>
    <row r="63" spans="1:12" hidden="1" x14ac:dyDescent="0.25">
      <c r="A63" s="510" t="s">
        <v>661</v>
      </c>
      <c r="B63" s="510"/>
      <c r="C63" s="512"/>
      <c r="D63" s="513"/>
      <c r="E63" s="510"/>
      <c r="F63" s="514"/>
      <c r="G63" s="515"/>
      <c r="L63" s="504" t="s">
        <v>662</v>
      </c>
    </row>
    <row r="64" spans="1:12" hidden="1" x14ac:dyDescent="0.25">
      <c r="A64" s="510" t="s">
        <v>663</v>
      </c>
      <c r="B64" s="510"/>
      <c r="C64" s="512"/>
      <c r="D64" s="513"/>
      <c r="E64" s="510"/>
      <c r="F64" s="514"/>
      <c r="G64" s="515"/>
      <c r="L64" s="504" t="s">
        <v>664</v>
      </c>
    </row>
    <row r="65" spans="1:12" hidden="1" x14ac:dyDescent="0.25">
      <c r="A65" s="510" t="s">
        <v>665</v>
      </c>
      <c r="B65" s="510"/>
      <c r="C65" s="512"/>
      <c r="D65" s="513"/>
      <c r="E65" s="510"/>
      <c r="F65" s="514"/>
      <c r="G65" s="515"/>
      <c r="L65" s="504" t="s">
        <v>666</v>
      </c>
    </row>
    <row r="66" spans="1:12" hidden="1" x14ac:dyDescent="0.25">
      <c r="A66" s="510" t="s">
        <v>667</v>
      </c>
      <c r="B66" s="510"/>
      <c r="C66" s="512"/>
      <c r="D66" s="513"/>
      <c r="E66" s="510"/>
      <c r="F66" s="514"/>
      <c r="G66" s="515"/>
      <c r="L66" s="504" t="s">
        <v>668</v>
      </c>
    </row>
    <row r="67" spans="1:12" hidden="1" x14ac:dyDescent="0.25">
      <c r="A67" s="510" t="s">
        <v>669</v>
      </c>
      <c r="B67" s="510"/>
      <c r="C67" s="512"/>
      <c r="D67" s="513"/>
      <c r="E67" s="510"/>
      <c r="F67" s="514"/>
      <c r="G67" s="515"/>
      <c r="L67" s="504" t="s">
        <v>670</v>
      </c>
    </row>
    <row r="68" spans="1:12" hidden="1" x14ac:dyDescent="0.25">
      <c r="A68" s="510" t="s">
        <v>671</v>
      </c>
      <c r="B68" s="510"/>
      <c r="C68" s="512"/>
      <c r="D68" s="513"/>
      <c r="E68" s="510"/>
      <c r="F68" s="514"/>
      <c r="G68" s="515"/>
      <c r="L68" s="504" t="s">
        <v>672</v>
      </c>
    </row>
    <row r="69" spans="1:12" hidden="1" x14ac:dyDescent="0.25">
      <c r="A69" s="510" t="s">
        <v>673</v>
      </c>
      <c r="B69" s="510"/>
      <c r="C69" s="512"/>
      <c r="D69" s="513"/>
      <c r="E69" s="510"/>
      <c r="F69" s="514"/>
      <c r="G69" s="515"/>
      <c r="L69" s="504" t="s">
        <v>674</v>
      </c>
    </row>
    <row r="70" spans="1:12" hidden="1" x14ac:dyDescent="0.25">
      <c r="A70" s="510" t="s">
        <v>675</v>
      </c>
      <c r="B70" s="510"/>
      <c r="C70" s="512"/>
      <c r="D70" s="513"/>
      <c r="E70" s="510"/>
      <c r="F70" s="514"/>
      <c r="G70" s="515"/>
      <c r="L70" s="504" t="s">
        <v>676</v>
      </c>
    </row>
    <row r="71" spans="1:12" hidden="1" x14ac:dyDescent="0.25">
      <c r="A71" s="510" t="s">
        <v>677</v>
      </c>
      <c r="B71" s="510"/>
      <c r="C71" s="512"/>
      <c r="D71" s="513"/>
      <c r="E71" s="510"/>
      <c r="F71" s="514"/>
      <c r="G71" s="515"/>
      <c r="L71" s="504" t="s">
        <v>678</v>
      </c>
    </row>
    <row r="72" spans="1:12" hidden="1" x14ac:dyDescent="0.25">
      <c r="A72" s="510" t="s">
        <v>679</v>
      </c>
      <c r="B72" s="510"/>
      <c r="C72" s="512"/>
      <c r="D72" s="513"/>
      <c r="E72" s="510"/>
      <c r="F72" s="514"/>
      <c r="G72" s="515"/>
      <c r="L72" s="504" t="s">
        <v>680</v>
      </c>
    </row>
    <row r="73" spans="1:12" hidden="1" x14ac:dyDescent="0.25">
      <c r="A73" s="510" t="s">
        <v>681</v>
      </c>
      <c r="B73" s="510"/>
      <c r="C73" s="512"/>
      <c r="D73" s="513"/>
      <c r="E73" s="510"/>
      <c r="F73" s="514"/>
      <c r="G73" s="515"/>
      <c r="L73" s="504" t="s">
        <v>682</v>
      </c>
    </row>
    <row r="74" spans="1:12" hidden="1" x14ac:dyDescent="0.25">
      <c r="A74" s="510" t="s">
        <v>683</v>
      </c>
      <c r="B74" s="510"/>
      <c r="C74" s="512"/>
      <c r="D74" s="513"/>
      <c r="E74" s="510"/>
      <c r="F74" s="514"/>
      <c r="G74" s="515"/>
      <c r="L74" s="504" t="s">
        <v>684</v>
      </c>
    </row>
    <row r="75" spans="1:12" hidden="1" x14ac:dyDescent="0.25">
      <c r="A75" s="510" t="s">
        <v>685</v>
      </c>
      <c r="B75" s="510"/>
      <c r="C75" s="512"/>
      <c r="D75" s="513"/>
      <c r="E75" s="510"/>
      <c r="F75" s="514"/>
      <c r="G75" s="515"/>
      <c r="L75" s="504" t="s">
        <v>686</v>
      </c>
    </row>
    <row r="76" spans="1:12" hidden="1" x14ac:dyDescent="0.25">
      <c r="A76" s="510" t="s">
        <v>687</v>
      </c>
      <c r="B76" s="510"/>
      <c r="C76" s="512"/>
      <c r="D76" s="513"/>
      <c r="E76" s="510"/>
      <c r="F76" s="514"/>
      <c r="G76" s="515"/>
      <c r="L76" s="504" t="s">
        <v>688</v>
      </c>
    </row>
    <row r="77" spans="1:12" hidden="1" x14ac:dyDescent="0.25">
      <c r="A77" s="510" t="s">
        <v>689</v>
      </c>
      <c r="B77" s="510"/>
      <c r="C77" s="512"/>
      <c r="D77" s="513"/>
      <c r="E77" s="510"/>
      <c r="F77" s="514"/>
      <c r="G77" s="515"/>
      <c r="L77" s="504" t="s">
        <v>690</v>
      </c>
    </row>
    <row r="78" spans="1:12" hidden="1" x14ac:dyDescent="0.25">
      <c r="A78" s="510" t="s">
        <v>691</v>
      </c>
      <c r="B78" s="510"/>
      <c r="C78" s="512"/>
      <c r="D78" s="513"/>
      <c r="E78" s="510"/>
      <c r="F78" s="514"/>
      <c r="G78" s="515"/>
      <c r="L78" s="504" t="s">
        <v>692</v>
      </c>
    </row>
    <row r="79" spans="1:12" hidden="1" x14ac:dyDescent="0.25">
      <c r="A79" s="510" t="s">
        <v>693</v>
      </c>
      <c r="B79" s="510"/>
      <c r="C79" s="512"/>
      <c r="D79" s="513"/>
      <c r="E79" s="510"/>
      <c r="F79" s="514"/>
      <c r="G79" s="515"/>
      <c r="L79" s="504" t="s">
        <v>694</v>
      </c>
    </row>
    <row r="80" spans="1:12" hidden="1" x14ac:dyDescent="0.25">
      <c r="A80" s="510" t="s">
        <v>695</v>
      </c>
      <c r="B80" s="510"/>
      <c r="C80" s="512"/>
      <c r="D80" s="513"/>
      <c r="E80" s="510"/>
      <c r="F80" s="514"/>
      <c r="G80" s="515"/>
      <c r="L80" s="504" t="s">
        <v>696</v>
      </c>
    </row>
    <row r="81" spans="1:12" hidden="1" x14ac:dyDescent="0.25">
      <c r="A81" s="510" t="s">
        <v>697</v>
      </c>
      <c r="B81" s="510"/>
      <c r="C81" s="512"/>
      <c r="D81" s="513"/>
      <c r="E81" s="510"/>
      <c r="F81" s="514"/>
      <c r="G81" s="515"/>
      <c r="L81" s="504" t="s">
        <v>698</v>
      </c>
    </row>
    <row r="82" spans="1:12" hidden="1" x14ac:dyDescent="0.25">
      <c r="A82" s="510" t="s">
        <v>699</v>
      </c>
      <c r="B82" s="510"/>
      <c r="C82" s="512"/>
      <c r="D82" s="513"/>
      <c r="E82" s="510"/>
      <c r="F82" s="514"/>
      <c r="G82" s="515"/>
      <c r="L82" s="504" t="s">
        <v>700</v>
      </c>
    </row>
    <row r="83" spans="1:12" hidden="1" x14ac:dyDescent="0.25">
      <c r="A83" s="510" t="s">
        <v>701</v>
      </c>
      <c r="B83" s="510"/>
      <c r="C83" s="512"/>
      <c r="D83" s="513"/>
      <c r="E83" s="510"/>
      <c r="F83" s="514"/>
      <c r="G83" s="515"/>
      <c r="L83" s="504" t="s">
        <v>702</v>
      </c>
    </row>
    <row r="84" spans="1:12" hidden="1" x14ac:dyDescent="0.25">
      <c r="A84" s="510" t="s">
        <v>703</v>
      </c>
      <c r="B84" s="510"/>
      <c r="C84" s="512"/>
      <c r="D84" s="513"/>
      <c r="E84" s="510"/>
      <c r="F84" s="514"/>
      <c r="G84" s="515"/>
      <c r="L84" s="504" t="s">
        <v>704</v>
      </c>
    </row>
    <row r="85" spans="1:12" hidden="1" x14ac:dyDescent="0.25">
      <c r="A85" s="510" t="s">
        <v>705</v>
      </c>
      <c r="B85" s="510"/>
      <c r="C85" s="512"/>
      <c r="D85" s="513"/>
      <c r="E85" s="510"/>
      <c r="F85" s="514"/>
      <c r="G85" s="515"/>
      <c r="L85" s="504" t="s">
        <v>706</v>
      </c>
    </row>
    <row r="86" spans="1:12" hidden="1" x14ac:dyDescent="0.25">
      <c r="A86" s="510" t="s">
        <v>707</v>
      </c>
      <c r="B86" s="510"/>
      <c r="C86" s="512"/>
      <c r="D86" s="513"/>
      <c r="E86" s="510"/>
      <c r="F86" s="514"/>
      <c r="G86" s="515"/>
      <c r="L86" s="504" t="s">
        <v>708</v>
      </c>
    </row>
    <row r="87" spans="1:12" hidden="1" x14ac:dyDescent="0.25">
      <c r="A87" s="510" t="s">
        <v>709</v>
      </c>
      <c r="B87" s="510"/>
      <c r="C87" s="512"/>
      <c r="D87" s="513"/>
      <c r="E87" s="510"/>
      <c r="F87" s="514"/>
      <c r="G87" s="515"/>
      <c r="L87" s="504" t="s">
        <v>710</v>
      </c>
    </row>
    <row r="88" spans="1:12" hidden="1" x14ac:dyDescent="0.25">
      <c r="A88" s="510" t="s">
        <v>711</v>
      </c>
      <c r="B88" s="510"/>
      <c r="C88" s="512"/>
      <c r="D88" s="513"/>
      <c r="E88" s="510"/>
      <c r="F88" s="514"/>
      <c r="G88" s="515"/>
      <c r="L88" s="504" t="s">
        <v>712</v>
      </c>
    </row>
    <row r="89" spans="1:12" hidden="1" x14ac:dyDescent="0.25">
      <c r="A89" s="510" t="s">
        <v>713</v>
      </c>
      <c r="B89" s="510"/>
      <c r="C89" s="512"/>
      <c r="D89" s="513"/>
      <c r="E89" s="510"/>
      <c r="F89" s="514"/>
      <c r="G89" s="515"/>
      <c r="L89" s="504" t="s">
        <v>714</v>
      </c>
    </row>
    <row r="90" spans="1:12" hidden="1" x14ac:dyDescent="0.25">
      <c r="A90" s="510" t="s">
        <v>715</v>
      </c>
      <c r="B90" s="510"/>
      <c r="C90" s="512"/>
      <c r="D90" s="513"/>
      <c r="E90" s="510"/>
      <c r="F90" s="514"/>
      <c r="G90" s="515"/>
      <c r="L90" s="504" t="s">
        <v>716</v>
      </c>
    </row>
    <row r="91" spans="1:12" hidden="1" x14ac:dyDescent="0.25">
      <c r="A91" s="510" t="s">
        <v>717</v>
      </c>
      <c r="B91" s="510"/>
      <c r="C91" s="512"/>
      <c r="D91" s="513"/>
      <c r="E91" s="510"/>
      <c r="F91" s="514"/>
      <c r="G91" s="515"/>
      <c r="L91" s="504" t="s">
        <v>718</v>
      </c>
    </row>
    <row r="92" spans="1:12" hidden="1" x14ac:dyDescent="0.25">
      <c r="A92" s="510" t="s">
        <v>719</v>
      </c>
      <c r="B92" s="510"/>
      <c r="C92" s="512"/>
      <c r="D92" s="513"/>
      <c r="E92" s="510"/>
      <c r="F92" s="514"/>
      <c r="G92" s="515"/>
      <c r="L92" s="504" t="s">
        <v>720</v>
      </c>
    </row>
    <row r="93" spans="1:12" hidden="1" x14ac:dyDescent="0.25">
      <c r="A93" s="510" t="s">
        <v>721</v>
      </c>
      <c r="B93" s="510"/>
      <c r="C93" s="512"/>
      <c r="D93" s="513"/>
      <c r="E93" s="510"/>
      <c r="F93" s="514"/>
      <c r="G93" s="515"/>
      <c r="L93" s="504" t="s">
        <v>722</v>
      </c>
    </row>
    <row r="94" spans="1:12" hidden="1" x14ac:dyDescent="0.25">
      <c r="A94" s="510" t="s">
        <v>723</v>
      </c>
      <c r="B94" s="510"/>
      <c r="C94" s="512"/>
      <c r="D94" s="513"/>
      <c r="E94" s="510"/>
      <c r="F94" s="514"/>
      <c r="G94" s="515"/>
      <c r="L94" s="504" t="s">
        <v>724</v>
      </c>
    </row>
    <row r="95" spans="1:12" hidden="1" x14ac:dyDescent="0.25">
      <c r="A95" s="510" t="s">
        <v>725</v>
      </c>
      <c r="B95" s="510"/>
      <c r="C95" s="512"/>
      <c r="D95" s="513"/>
      <c r="E95" s="510"/>
      <c r="F95" s="514"/>
      <c r="G95" s="515"/>
      <c r="L95" s="504" t="s">
        <v>726</v>
      </c>
    </row>
    <row r="96" spans="1:12" hidden="1" x14ac:dyDescent="0.25">
      <c r="A96" s="510" t="s">
        <v>727</v>
      </c>
      <c r="B96" s="510"/>
      <c r="C96" s="512"/>
      <c r="D96" s="513"/>
      <c r="E96" s="510"/>
      <c r="F96" s="514"/>
      <c r="G96" s="515"/>
      <c r="L96" s="504" t="s">
        <v>728</v>
      </c>
    </row>
    <row r="97" spans="1:12" hidden="1" x14ac:dyDescent="0.25">
      <c r="A97" s="510" t="s">
        <v>729</v>
      </c>
      <c r="B97" s="510"/>
      <c r="C97" s="512"/>
      <c r="D97" s="513"/>
      <c r="E97" s="510"/>
      <c r="F97" s="514"/>
      <c r="G97" s="515"/>
      <c r="L97" s="504" t="s">
        <v>730</v>
      </c>
    </row>
    <row r="98" spans="1:12" hidden="1" x14ac:dyDescent="0.25">
      <c r="A98" s="510" t="s">
        <v>731</v>
      </c>
      <c r="B98" s="510"/>
      <c r="C98" s="512"/>
      <c r="D98" s="513"/>
      <c r="E98" s="510"/>
      <c r="F98" s="514"/>
      <c r="G98" s="515"/>
      <c r="L98" s="504" t="s">
        <v>732</v>
      </c>
    </row>
    <row r="99" spans="1:12" hidden="1" x14ac:dyDescent="0.25">
      <c r="A99" s="510" t="s">
        <v>733</v>
      </c>
      <c r="B99" s="510"/>
      <c r="C99" s="512"/>
      <c r="D99" s="513"/>
      <c r="E99" s="510"/>
      <c r="F99" s="514"/>
      <c r="G99" s="515"/>
      <c r="L99" s="504" t="s">
        <v>734</v>
      </c>
    </row>
  </sheetData>
  <mergeCells count="1">
    <mergeCell ref="D4:G4"/>
  </mergeCells>
  <conditionalFormatting sqref="F10:F24">
    <cfRule type="expression" dxfId="10"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D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D00-000001000000}"/>
    <dataValidation allowBlank="1" showInputMessage="1" showErrorMessage="1" prompt="Click on this line for detailed instructions." sqref="A1" xr:uid="{00000000-0002-0000-0D00-000002000000}"/>
    <dataValidation allowBlank="1" showInputMessage="1" showErrorMessage="1" prompt="Enter the 100th (or 200th) day student count." sqref="D10:D99" xr:uid="{00000000-0002-0000-0D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D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D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D00-000006000000}"/>
    <dataValidation operator="equal" allowBlank="1" showInputMessage="1" showErrorMessage="1" error="This cell will only accept entries equal to 9 digits." sqref="B2 C7" xr:uid="{00000000-0002-0000-0D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D00-000008000000}">
      <formula1>100</formula1>
      <formula2>999</formula2>
    </dataValidation>
  </dataValidations>
  <hyperlinks>
    <hyperlink ref="A1" location="School_Listing_Tab" display="Charter name" xr:uid="{00000000-0004-0000-0D00-000000000000}"/>
  </hyperlinks>
  <pageMargins left="0.75" right="0.25" top="0.25" bottom="0.25" header="0.5" footer="0.15"/>
  <pageSetup paperSize="5" scale="74" orientation="landscape" r:id="rId1"/>
  <headerFooter>
    <oddFooter>&amp;LRev. 8/24 Arizona Department of Education and Auditor General&amp;CFY 2024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8"/>
  <sheetViews>
    <sheetView showGridLines="0" workbookViewId="0">
      <selection activeCell="A5" sqref="A5"/>
    </sheetView>
  </sheetViews>
  <sheetFormatPr defaultColWidth="9.33203125" defaultRowHeight="63" customHeight="1" x14ac:dyDescent="0.25"/>
  <cols>
    <col min="1" max="1" width="132" customWidth="1"/>
    <col min="2" max="2" width="18.44140625" customWidth="1"/>
    <col min="3" max="3" width="71" hidden="1" customWidth="1"/>
  </cols>
  <sheetData>
    <row r="1" spans="1:3" ht="30" customHeight="1" x14ac:dyDescent="0.25">
      <c r="A1" s="499" t="str">
        <f>IF('Page 2'!J48=0,"",IF(OR(,Alerts!A3&lt;&gt;"",Alerts!A4&lt;&gt;"",Alerts!A5&lt;&gt;"",Alerts!A6&lt;&gt;"",Alerts!A7&lt;&gt;"",Alerts!A8&lt;&gt;"",Alerts!A9&lt;&gt;"",Alerts!A10&lt;&gt;"",Alerts!A11&lt;&gt;"",Alerts!A12&lt;&gt;"",Alerts!A13&lt;&gt;"",Alerts!A14&lt;&gt;"",Alerts!A15&lt;&gt;"",Alerts!A16&lt;&gt;""),"ALERT: The following items need to be addressed before the AFR is submitted",""))</f>
        <v/>
      </c>
    </row>
    <row r="2" spans="1:3" s="4" customFormat="1" ht="93" customHeight="1" x14ac:dyDescent="0.25">
      <c r="A2" s="632"/>
      <c r="B2" s="632"/>
      <c r="C2" s="493"/>
    </row>
    <row r="3" spans="1:3" s="4" customFormat="1" ht="112.5" customHeight="1" x14ac:dyDescent="0.25">
      <c r="A3" s="632" t="str">
        <f>IF('Page 2'!J48=0,"",IF(SUM('Page 3'!F25)+SUM('Page 4'!F16)+SUM('Page 5'!G8)+SUM('Page 5'!G30)&gt;'Page 1'!H27,C3,""))</f>
        <v/>
      </c>
      <c r="B3" s="632" t="str">
        <f>IF(A3="","","Restricted revenues-3200 on page 1 are not complete.")</f>
        <v/>
      </c>
      <c r="C3" s="500" t="s">
        <v>1170</v>
      </c>
    </row>
    <row r="4" spans="1:3" s="4" customFormat="1" ht="63" customHeight="1" x14ac:dyDescent="0.25">
      <c r="A4" s="632" t="str">
        <f>IF('Page 2'!J48=0,"",IF('Page 3'!F27&lt;=0,C4,""))</f>
        <v/>
      </c>
      <c r="B4" s="632" t="str">
        <f>IF(A4="","","Classroom Site Project revenue information on page 3 is not complete.")</f>
        <v/>
      </c>
      <c r="C4" s="500" t="s">
        <v>531</v>
      </c>
    </row>
    <row r="5" spans="1:3" s="4" customFormat="1" ht="78.75" customHeight="1" x14ac:dyDescent="0.25">
      <c r="A5" s="632" t="str">
        <f>IF('Page 2'!J48=0,"",IF('Page 4'!F16&lt;=0,C5,""))</f>
        <v/>
      </c>
      <c r="B5" s="632" t="str">
        <f>IF(A5="","","Instructional Improvement Project revenue on page 4 is not complete.")</f>
        <v/>
      </c>
      <c r="C5" s="500" t="s">
        <v>532</v>
      </c>
    </row>
    <row r="6" spans="1:3" s="4" customFormat="1" ht="55.5" customHeight="1" x14ac:dyDescent="0.25">
      <c r="A6" s="632" t="str">
        <f>IF('Page 2'!J48=0,"",IF(OR('Page 6'!G15="",'Page 6'!G16="",'Page 6'!G17="",'Page 6'!G18="",'Page 6'!G19=""),C6,""))</f>
        <v/>
      </c>
      <c r="B6" s="632" t="str">
        <f>IF(A6="","","Capital acquisition information on page 6, section C is not complete.")</f>
        <v/>
      </c>
      <c r="C6" s="500" t="s">
        <v>1171</v>
      </c>
    </row>
    <row r="7" spans="1:3" s="4" customFormat="1" ht="48.75" customHeight="1" x14ac:dyDescent="0.25">
      <c r="A7" s="632" t="str">
        <f>IF('Page 2'!J48=0,"",IF(OR('Page 6'!G33&lt;=0,'Page 6'!G35&lt;=0,'Page 6'!G34&lt;=0,'Page 6'!G38&lt;=0),C7,""))</f>
        <v/>
      </c>
      <c r="B7" s="632" t="str">
        <f>IF(A7="","","Current expenses on page 6, section E are not complete.")</f>
        <v/>
      </c>
      <c r="C7" s="500" t="s">
        <v>1172</v>
      </c>
    </row>
    <row r="8" spans="1:3" s="4" customFormat="1" ht="70.5" customHeight="1" x14ac:dyDescent="0.25">
      <c r="A8" s="632" t="str">
        <f>IF('Page 2'!J48=0,"",IF((SUM('Page 2'!J11,'Page 2'!J12,'Page 2'!J13,'Page 2'!J15,'Page 2'!J29,'Page 2'!J30,'Page 2'!J31,'Page 2'!J33))&gt;('Page 6'!G35),C8,""))</f>
        <v/>
      </c>
      <c r="B8" s="632" t="str">
        <f>IF(A8="","","Current administration expense on page 6, section E is not complete.")</f>
        <v/>
      </c>
      <c r="C8" s="500" t="s">
        <v>533</v>
      </c>
    </row>
    <row r="9" spans="1:3" s="4" customFormat="1" ht="39.75" customHeight="1" x14ac:dyDescent="0.25">
      <c r="A9" s="632" t="str">
        <f>IF('Page 2'!J48=0,"",IF(SUM('Page 6'!T6:T8)&lt;=0,C9,""))</f>
        <v/>
      </c>
      <c r="B9" s="632" t="str">
        <f>IF(A9="","","Page 6, section F, lines 1-3 are not complete.")</f>
        <v/>
      </c>
      <c r="C9" s="500" t="s">
        <v>534</v>
      </c>
    </row>
    <row r="10" spans="1:3" s="4" customFormat="1" ht="55.5" customHeight="1" x14ac:dyDescent="0.25">
      <c r="A10" s="632" t="str">
        <f>IF('Page 2'!J48=0,"",IF(SUM('Page 6'!M19:T23)&lt;=0,C10,""))</f>
        <v/>
      </c>
      <c r="B10" s="632" t="str">
        <f>IF(A10="","","Teacher salary information on page 6, section G is not complete.")</f>
        <v/>
      </c>
      <c r="C10" s="500" t="s">
        <v>535</v>
      </c>
    </row>
    <row r="11" spans="1:3" s="4" customFormat="1" ht="50.25" customHeight="1" x14ac:dyDescent="0.25">
      <c r="A11" s="632" t="str">
        <f>IF(SUM('Page 6'!T6:T8)=0,"",IF(AND(((SUM('Page 6'!M19:Q24,'Page 6'!T19:T24)/SUM('Page 6'!T6:T8))&gt;10000),(SUM('Page 6'!M19:Q24,'Page 6'!T19:T24)/SUM('Page 6'!T6:T8))&lt;80000),"",C11))</f>
        <v/>
      </c>
      <c r="B11" s="632" t="str">
        <f>IF(A11="","","Teacher FTE and salary information on page 6, sections F and G is not appropriate.")</f>
        <v/>
      </c>
      <c r="C11" s="500" t="s">
        <v>536</v>
      </c>
    </row>
    <row r="12" spans="1:3" s="4" customFormat="1" ht="57" customHeight="1" x14ac:dyDescent="0.25">
      <c r="A12" s="632" t="str">
        <f>IF('Page 2'!J48=0,"",IF(OR('Page 6'!T29="",'Page 6'!T29&lt;10000),C12,""))</f>
        <v/>
      </c>
      <c r="B12" s="632" t="str">
        <f>IF(A12="","","Average teacher salary information on page 6, section H is not complete.")</f>
        <v/>
      </c>
      <c r="C12" s="500" t="s">
        <v>1165</v>
      </c>
    </row>
    <row r="13" spans="1:3" s="4" customFormat="1" ht="84.75" customHeight="1" x14ac:dyDescent="0.25">
      <c r="A13" s="632" t="str">
        <f>IF('Page 2'!J48=0,"",IF(AND('Page 2'!J37&gt;0,'Page 7'!T23&lt;'Page 2'!J37),C13,""))</f>
        <v/>
      </c>
      <c r="B13" s="632" t="str">
        <f>IF(A13="","","Special education program information on page 7 is not complete.")</f>
        <v/>
      </c>
      <c r="C13" s="500" t="s">
        <v>537</v>
      </c>
    </row>
    <row r="14" spans="1:3" s="4" customFormat="1" ht="84.75" customHeight="1" x14ac:dyDescent="0.25">
      <c r="A14" s="632" t="str">
        <f>IF('Page 2'!J48=0,"",IF(OR('Page 9'!E41="",'Page 9'!E42="",'Page 9'!E43="",'Page 9'!E44="",('Page 9'!K23+'Page 9'!K26+SUM('Page 9'!E33:E36))&lt;&gt;(SUM('Page 9'!E41:E44))),C14,""))</f>
        <v/>
      </c>
      <c r="B14" s="632" t="str">
        <f>IF(A14="","","Property disbursement information on page 9 is not complete.")</f>
        <v/>
      </c>
      <c r="C14" s="500" t="s">
        <v>538</v>
      </c>
    </row>
    <row r="15" spans="1:3" s="4" customFormat="1" ht="90" customHeight="1" x14ac:dyDescent="0.25">
      <c r="A15" s="632" t="str">
        <f>IF('Page 2'!J48=0,"",IF((SUM('Page 2'!J48))&gt;(SUM('Page 9'!D23:J23)+SUM('Page 9'!D26:J26)+SUM('Page 9'!D33:D36)+'Page 9'!E48+'Page 9'!E50),C15,""))</f>
        <v/>
      </c>
      <c r="B15" s="632" t="str">
        <f>IF(A15="","","NPEFS information on page 9 is not complete.")</f>
        <v/>
      </c>
      <c r="C15" s="500" t="s">
        <v>539</v>
      </c>
    </row>
    <row r="16" spans="1:3" s="4" customFormat="1" ht="41.25" customHeight="1" x14ac:dyDescent="0.25">
      <c r="A16" s="632" t="str">
        <f>IF('Page 2'!J48=0,"",IF(OR('Page 8'!G25="",'Page 8'!H25="",'Page 8'!I25="",'Page 8'!K25="",'Page 8'!M25=""),C16,""))</f>
        <v/>
      </c>
      <c r="B16" s="632" t="str">
        <f>IF(A16="","","COVID-19 information on page 8, line 19 is not complete.")</f>
        <v/>
      </c>
      <c r="C16" s="500" t="s">
        <v>540</v>
      </c>
    </row>
    <row r="17" spans="1:3" ht="43.5" customHeight="1" x14ac:dyDescent="0.25">
      <c r="A17" s="501"/>
      <c r="B17" s="4"/>
      <c r="C17" s="4"/>
    </row>
    <row r="18" spans="1:3" ht="63" customHeight="1" x14ac:dyDescent="0.25">
      <c r="A18" s="632"/>
    </row>
  </sheetData>
  <sheetProtection sheet="1" formatCells="0" formatColumns="0" formatRows="0"/>
  <pageMargins left="0.75" right="0.25" top="0.25" bottom="0.25" header="0.5" footer="0.15"/>
  <pageSetup paperSize="5" scale="53" orientation="landscape" r:id="rId1"/>
  <headerFooter>
    <oddFooter>&amp;LRev. 8/24 Arizona Department of Education and Auditor General&amp;CFY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O105"/>
  <sheetViews>
    <sheetView showGridLines="0" topLeftCell="A6" zoomScaleNormal="100" workbookViewId="0">
      <selection activeCell="C8" sqref="C8"/>
    </sheetView>
  </sheetViews>
  <sheetFormatPr defaultColWidth="9.33203125" defaultRowHeight="13.2" x14ac:dyDescent="0.25"/>
  <cols>
    <col min="1" max="1" width="11.77734375" style="157" customWidth="1"/>
    <col min="2" max="2" width="25" style="157" customWidth="1"/>
    <col min="3" max="3" width="112.109375" style="157" customWidth="1"/>
    <col min="4" max="4" width="32.6640625" style="548" customWidth="1"/>
    <col min="5" max="5" width="9.33203125" style="157" customWidth="1"/>
    <col min="6" max="6" width="17.6640625" style="157" customWidth="1"/>
    <col min="7" max="10" width="9.33203125" style="157" customWidth="1"/>
    <col min="11" max="16384" width="9.33203125" style="157"/>
  </cols>
  <sheetData>
    <row r="1" spans="1:7" ht="24.75" customHeight="1" x14ac:dyDescent="0.25">
      <c r="A1" s="518" t="s">
        <v>735</v>
      </c>
      <c r="B1" s="518" t="s">
        <v>736</v>
      </c>
      <c r="C1" s="518" t="s">
        <v>737</v>
      </c>
      <c r="D1" s="518" t="s">
        <v>738</v>
      </c>
    </row>
    <row r="2" spans="1:7" ht="65.25" customHeight="1" x14ac:dyDescent="0.25">
      <c r="A2" s="870" t="s">
        <v>739</v>
      </c>
      <c r="B2" s="871"/>
      <c r="C2" s="519" t="s">
        <v>740</v>
      </c>
      <c r="D2" s="520"/>
    </row>
    <row r="3" spans="1:7" ht="68.25" customHeight="1" x14ac:dyDescent="0.25">
      <c r="A3" s="872"/>
      <c r="B3" s="873"/>
      <c r="C3" s="521" t="s">
        <v>741</v>
      </c>
      <c r="D3" s="520"/>
      <c r="F3" s="522"/>
      <c r="G3" s="160"/>
    </row>
    <row r="4" spans="1:7" ht="73.5" customHeight="1" x14ac:dyDescent="0.25">
      <c r="A4" s="872"/>
      <c r="B4" s="873"/>
      <c r="C4" s="523" t="s">
        <v>1143</v>
      </c>
      <c r="D4" s="520"/>
    </row>
    <row r="5" spans="1:7" ht="216.75" customHeight="1" x14ac:dyDescent="0.25">
      <c r="A5" s="872"/>
      <c r="B5" s="873"/>
      <c r="C5" s="519" t="s">
        <v>1214</v>
      </c>
      <c r="D5" s="520"/>
    </row>
    <row r="6" spans="1:7" ht="85.5" customHeight="1" x14ac:dyDescent="0.25">
      <c r="A6" s="874"/>
      <c r="B6" s="875"/>
      <c r="C6" s="523" t="s">
        <v>742</v>
      </c>
      <c r="D6" s="520"/>
    </row>
    <row r="7" spans="1:7" ht="54.75" customHeight="1" x14ac:dyDescent="0.25">
      <c r="A7" s="524" t="s">
        <v>743</v>
      </c>
      <c r="B7" s="525" t="s">
        <v>744</v>
      </c>
      <c r="C7" s="523" t="s">
        <v>745</v>
      </c>
      <c r="D7" s="520"/>
    </row>
    <row r="8" spans="1:7" ht="187.5" customHeight="1" x14ac:dyDescent="0.25">
      <c r="A8" s="526" t="s">
        <v>746</v>
      </c>
      <c r="B8" s="525" t="s">
        <v>744</v>
      </c>
      <c r="C8" s="519" t="s">
        <v>747</v>
      </c>
      <c r="D8" s="520"/>
    </row>
    <row r="9" spans="1:7" ht="215.25" customHeight="1" x14ac:dyDescent="0.25">
      <c r="A9" s="876" t="s">
        <v>748</v>
      </c>
      <c r="B9" s="878" t="s">
        <v>739</v>
      </c>
      <c r="C9" s="521" t="s">
        <v>749</v>
      </c>
      <c r="D9" s="520"/>
    </row>
    <row r="10" spans="1:7" ht="217.5" customHeight="1" x14ac:dyDescent="0.25">
      <c r="A10" s="877"/>
      <c r="B10" s="879"/>
      <c r="C10" s="527" t="s">
        <v>750</v>
      </c>
      <c r="D10" s="520"/>
    </row>
    <row r="11" spans="1:7" ht="21" customHeight="1" x14ac:dyDescent="0.25">
      <c r="A11" s="528">
        <v>1</v>
      </c>
      <c r="B11" s="529" t="s">
        <v>739</v>
      </c>
      <c r="C11" s="523" t="s">
        <v>751</v>
      </c>
      <c r="D11" s="520"/>
    </row>
    <row r="12" spans="1:7" ht="54" customHeight="1" x14ac:dyDescent="0.25">
      <c r="A12" s="530">
        <v>1</v>
      </c>
      <c r="B12" s="529" t="s">
        <v>752</v>
      </c>
      <c r="C12" s="531" t="s">
        <v>753</v>
      </c>
      <c r="D12" s="520"/>
    </row>
    <row r="13" spans="1:7" ht="122.25" customHeight="1" x14ac:dyDescent="0.25">
      <c r="A13" s="530">
        <v>1</v>
      </c>
      <c r="B13" s="532" t="s">
        <v>754</v>
      </c>
      <c r="C13" s="533" t="s">
        <v>755</v>
      </c>
      <c r="D13" s="520"/>
    </row>
    <row r="14" spans="1:7" ht="69.75" customHeight="1" x14ac:dyDescent="0.25">
      <c r="A14" s="530">
        <v>1</v>
      </c>
      <c r="B14" s="532" t="s">
        <v>756</v>
      </c>
      <c r="C14" s="533" t="s">
        <v>757</v>
      </c>
      <c r="D14" s="520"/>
    </row>
    <row r="15" spans="1:7" ht="69.75" customHeight="1" x14ac:dyDescent="0.25">
      <c r="A15" s="530">
        <v>1</v>
      </c>
      <c r="B15" s="532" t="s">
        <v>758</v>
      </c>
      <c r="C15" s="533" t="s">
        <v>759</v>
      </c>
      <c r="D15" s="520"/>
    </row>
    <row r="16" spans="1:7" ht="129" customHeight="1" x14ac:dyDescent="0.25">
      <c r="A16" s="528">
        <v>2</v>
      </c>
      <c r="B16" s="532" t="s">
        <v>760</v>
      </c>
      <c r="C16" s="533" t="s">
        <v>761</v>
      </c>
      <c r="D16" s="523"/>
    </row>
    <row r="17" spans="1:4" ht="54.75" customHeight="1" x14ac:dyDescent="0.25">
      <c r="A17" s="528">
        <v>2</v>
      </c>
      <c r="B17" s="532" t="s">
        <v>762</v>
      </c>
      <c r="C17" s="523" t="s">
        <v>1167</v>
      </c>
      <c r="D17" s="520"/>
    </row>
    <row r="18" spans="1:4" ht="84" customHeight="1" x14ac:dyDescent="0.25">
      <c r="A18" s="652">
        <v>3</v>
      </c>
      <c r="B18" s="532" t="s">
        <v>165</v>
      </c>
      <c r="C18" s="531" t="s">
        <v>763</v>
      </c>
      <c r="D18" s="534"/>
    </row>
    <row r="19" spans="1:4" ht="54" customHeight="1" x14ac:dyDescent="0.25">
      <c r="A19" s="652">
        <v>3</v>
      </c>
      <c r="B19" s="532" t="s">
        <v>764</v>
      </c>
      <c r="C19" s="531" t="s">
        <v>765</v>
      </c>
      <c r="D19" s="489"/>
    </row>
    <row r="20" spans="1:4" ht="42.75" customHeight="1" x14ac:dyDescent="0.25">
      <c r="A20" s="653">
        <v>3</v>
      </c>
      <c r="B20" s="532" t="s">
        <v>766</v>
      </c>
      <c r="C20" s="531" t="s">
        <v>767</v>
      </c>
      <c r="D20" s="489"/>
    </row>
    <row r="21" spans="1:4" ht="69.75" customHeight="1" x14ac:dyDescent="0.25">
      <c r="A21" s="652">
        <v>3</v>
      </c>
      <c r="B21" s="532" t="s">
        <v>768</v>
      </c>
      <c r="C21" s="531" t="s">
        <v>1168</v>
      </c>
      <c r="D21" s="534"/>
    </row>
    <row r="22" spans="1:4" ht="124.5" customHeight="1" x14ac:dyDescent="0.25">
      <c r="A22" s="652">
        <v>4</v>
      </c>
      <c r="B22" s="532" t="s">
        <v>769</v>
      </c>
      <c r="C22" s="533" t="s">
        <v>770</v>
      </c>
      <c r="D22" s="535"/>
    </row>
    <row r="23" spans="1:4" ht="99.75" customHeight="1" x14ac:dyDescent="0.25">
      <c r="A23" s="652">
        <v>6</v>
      </c>
      <c r="B23" s="532" t="s">
        <v>771</v>
      </c>
      <c r="C23" s="533" t="s">
        <v>1215</v>
      </c>
      <c r="D23" s="520"/>
    </row>
    <row r="24" spans="1:4" ht="93.75" customHeight="1" x14ac:dyDescent="0.25">
      <c r="A24" s="652">
        <v>6</v>
      </c>
      <c r="B24" s="532" t="s">
        <v>772</v>
      </c>
      <c r="C24" s="533" t="s">
        <v>1216</v>
      </c>
      <c r="D24" s="520"/>
    </row>
    <row r="25" spans="1:4" ht="45.75" customHeight="1" x14ac:dyDescent="0.25">
      <c r="A25" s="652">
        <v>6</v>
      </c>
      <c r="B25" s="532" t="s">
        <v>773</v>
      </c>
      <c r="C25" s="533" t="s">
        <v>1217</v>
      </c>
      <c r="D25" s="520"/>
    </row>
    <row r="26" spans="1:4" ht="111" customHeight="1" x14ac:dyDescent="0.25">
      <c r="A26" s="652">
        <v>6</v>
      </c>
      <c r="B26" s="532" t="s">
        <v>774</v>
      </c>
      <c r="C26" s="533" t="s">
        <v>1218</v>
      </c>
      <c r="D26" s="520"/>
    </row>
    <row r="27" spans="1:4" ht="39.6" x14ac:dyDescent="0.25">
      <c r="A27" s="652">
        <v>6</v>
      </c>
      <c r="B27" s="532" t="s">
        <v>775</v>
      </c>
      <c r="C27" s="533" t="s">
        <v>1219</v>
      </c>
      <c r="D27" s="520"/>
    </row>
    <row r="28" spans="1:4" ht="173.25" customHeight="1" x14ac:dyDescent="0.25">
      <c r="A28" s="652">
        <v>6</v>
      </c>
      <c r="B28" s="532" t="s">
        <v>776</v>
      </c>
      <c r="C28" s="533" t="s">
        <v>777</v>
      </c>
      <c r="D28" s="520"/>
    </row>
    <row r="29" spans="1:4" ht="69.75" customHeight="1" x14ac:dyDescent="0.25">
      <c r="A29" s="652">
        <v>6</v>
      </c>
      <c r="B29" s="634" t="s">
        <v>778</v>
      </c>
      <c r="C29" s="533" t="s">
        <v>779</v>
      </c>
      <c r="D29" s="520"/>
    </row>
    <row r="30" spans="1:4" ht="53.25" customHeight="1" x14ac:dyDescent="0.25">
      <c r="A30" s="652">
        <v>6</v>
      </c>
      <c r="B30" s="634" t="s">
        <v>780</v>
      </c>
      <c r="C30" s="533" t="s">
        <v>781</v>
      </c>
      <c r="D30" s="520"/>
    </row>
    <row r="31" spans="1:4" ht="77.25" customHeight="1" x14ac:dyDescent="0.25">
      <c r="A31" s="652">
        <v>6</v>
      </c>
      <c r="B31" s="532" t="s">
        <v>782</v>
      </c>
      <c r="C31" s="519" t="s">
        <v>783</v>
      </c>
      <c r="D31" s="520"/>
    </row>
    <row r="32" spans="1:4" ht="45.75" customHeight="1" x14ac:dyDescent="0.25">
      <c r="A32" s="652">
        <v>6</v>
      </c>
      <c r="B32" s="532" t="s">
        <v>784</v>
      </c>
      <c r="C32" s="533" t="s">
        <v>785</v>
      </c>
      <c r="D32" s="520"/>
    </row>
    <row r="33" spans="1:15" ht="47.25" customHeight="1" x14ac:dyDescent="0.25">
      <c r="A33" s="652">
        <v>6</v>
      </c>
      <c r="B33" s="532" t="s">
        <v>786</v>
      </c>
      <c r="C33" s="533" t="s">
        <v>787</v>
      </c>
      <c r="D33" s="520"/>
    </row>
    <row r="34" spans="1:15" ht="39.6" x14ac:dyDescent="0.25">
      <c r="A34" s="652">
        <v>6</v>
      </c>
      <c r="B34" s="532" t="s">
        <v>788</v>
      </c>
      <c r="C34" s="533" t="s">
        <v>789</v>
      </c>
      <c r="D34" s="520"/>
    </row>
    <row r="35" spans="1:15" ht="39.6" x14ac:dyDescent="0.25">
      <c r="A35" s="652">
        <v>6</v>
      </c>
      <c r="B35" s="532" t="s">
        <v>790</v>
      </c>
      <c r="C35" s="533" t="s">
        <v>791</v>
      </c>
      <c r="D35" s="520"/>
    </row>
    <row r="36" spans="1:15" s="160" customFormat="1" ht="39.6" x14ac:dyDescent="0.25">
      <c r="A36" s="652">
        <v>6</v>
      </c>
      <c r="B36" s="634" t="s">
        <v>792</v>
      </c>
      <c r="C36" s="533" t="s">
        <v>793</v>
      </c>
      <c r="D36" s="489"/>
    </row>
    <row r="37" spans="1:15" s="160" customFormat="1" ht="57.75" customHeight="1" x14ac:dyDescent="0.25">
      <c r="A37" s="652">
        <v>6</v>
      </c>
      <c r="B37" s="634" t="s">
        <v>794</v>
      </c>
      <c r="C37" s="533" t="s">
        <v>1220</v>
      </c>
      <c r="D37" s="536"/>
    </row>
    <row r="38" spans="1:15" s="160" customFormat="1" ht="30.75" customHeight="1" x14ac:dyDescent="0.25">
      <c r="A38" s="652">
        <v>7</v>
      </c>
      <c r="B38" s="532" t="s">
        <v>795</v>
      </c>
      <c r="C38" s="533" t="s">
        <v>796</v>
      </c>
      <c r="D38" s="489"/>
      <c r="E38" s="590"/>
      <c r="F38" s="590"/>
      <c r="G38" s="590"/>
      <c r="H38" s="590"/>
      <c r="I38" s="590"/>
      <c r="J38" s="590"/>
      <c r="K38" s="590"/>
      <c r="L38" s="590"/>
      <c r="M38" s="590"/>
      <c r="N38" s="590"/>
      <c r="O38" s="590"/>
    </row>
    <row r="39" spans="1:15" ht="114.75" customHeight="1" x14ac:dyDescent="0.25">
      <c r="A39" s="652">
        <v>7</v>
      </c>
      <c r="B39" s="532" t="s">
        <v>797</v>
      </c>
      <c r="C39" s="519" t="s">
        <v>798</v>
      </c>
      <c r="D39" s="520"/>
    </row>
    <row r="40" spans="1:15" ht="42" customHeight="1" x14ac:dyDescent="0.25">
      <c r="A40" s="652">
        <v>7</v>
      </c>
      <c r="B40" s="532" t="s">
        <v>799</v>
      </c>
      <c r="C40" s="523" t="s">
        <v>800</v>
      </c>
      <c r="D40" s="520"/>
    </row>
    <row r="41" spans="1:15" ht="39.75" customHeight="1" x14ac:dyDescent="0.25">
      <c r="A41" s="652">
        <v>7</v>
      </c>
      <c r="B41" s="532" t="s">
        <v>801</v>
      </c>
      <c r="C41" s="533" t="s">
        <v>802</v>
      </c>
      <c r="D41" s="520"/>
    </row>
    <row r="42" spans="1:15" ht="54" customHeight="1" x14ac:dyDescent="0.25">
      <c r="A42" s="652">
        <v>8</v>
      </c>
      <c r="B42" s="532" t="s">
        <v>857</v>
      </c>
      <c r="C42" s="685" t="s">
        <v>1229</v>
      </c>
      <c r="D42" s="520"/>
    </row>
    <row r="43" spans="1:15" ht="114" customHeight="1" x14ac:dyDescent="0.25">
      <c r="A43" s="652">
        <v>8</v>
      </c>
      <c r="B43" s="532" t="s">
        <v>316</v>
      </c>
      <c r="C43" s="687" t="s">
        <v>1231</v>
      </c>
      <c r="D43" s="687" t="s">
        <v>1232</v>
      </c>
    </row>
    <row r="44" spans="1:15" ht="114.75" customHeight="1" x14ac:dyDescent="0.25">
      <c r="A44" s="652">
        <v>8</v>
      </c>
      <c r="B44" s="532" t="s">
        <v>803</v>
      </c>
      <c r="C44" s="533" t="s">
        <v>804</v>
      </c>
      <c r="D44" s="537"/>
    </row>
    <row r="45" spans="1:15" ht="30" customHeight="1" x14ac:dyDescent="0.25">
      <c r="A45" s="652">
        <v>8</v>
      </c>
      <c r="B45" s="532" t="s">
        <v>1166</v>
      </c>
      <c r="C45" s="523" t="s">
        <v>805</v>
      </c>
      <c r="D45" s="520"/>
    </row>
    <row r="46" spans="1:15" ht="265.5" customHeight="1" x14ac:dyDescent="0.25">
      <c r="A46" s="652">
        <v>9</v>
      </c>
      <c r="B46" s="532" t="s">
        <v>739</v>
      </c>
      <c r="C46" s="684" t="s">
        <v>1228</v>
      </c>
      <c r="D46" s="520"/>
    </row>
    <row r="47" spans="1:15" ht="69" customHeight="1" x14ac:dyDescent="0.25">
      <c r="A47" s="652">
        <v>9</v>
      </c>
      <c r="B47" s="532" t="s">
        <v>162</v>
      </c>
      <c r="C47" s="523" t="s">
        <v>1173</v>
      </c>
      <c r="D47" s="520"/>
    </row>
    <row r="48" spans="1:15" ht="69.75" customHeight="1" x14ac:dyDescent="0.25">
      <c r="A48" s="652">
        <v>9</v>
      </c>
      <c r="B48" s="634" t="s">
        <v>398</v>
      </c>
      <c r="C48" s="519" t="s">
        <v>1174</v>
      </c>
      <c r="D48" s="520"/>
    </row>
    <row r="49" spans="1:9" ht="53.25" customHeight="1" x14ac:dyDescent="0.25">
      <c r="A49" s="652">
        <v>9</v>
      </c>
      <c r="B49" s="532" t="s">
        <v>407</v>
      </c>
      <c r="C49" s="538" t="s">
        <v>1175</v>
      </c>
      <c r="D49" s="520"/>
    </row>
    <row r="50" spans="1:9" ht="107.25" customHeight="1" x14ac:dyDescent="0.25">
      <c r="A50" s="650">
        <v>9</v>
      </c>
      <c r="B50" s="634" t="s">
        <v>806</v>
      </c>
      <c r="C50" s="539" t="s">
        <v>807</v>
      </c>
      <c r="D50" s="520"/>
    </row>
    <row r="51" spans="1:9" ht="18" customHeight="1" x14ac:dyDescent="0.25">
      <c r="A51" s="654"/>
      <c r="B51" s="540"/>
      <c r="C51" s="541" t="s">
        <v>808</v>
      </c>
      <c r="D51" s="520"/>
    </row>
    <row r="52" spans="1:9" ht="53.25" customHeight="1" x14ac:dyDescent="0.25">
      <c r="A52" s="654"/>
      <c r="B52" s="540"/>
      <c r="C52" s="539" t="s">
        <v>809</v>
      </c>
      <c r="D52" s="520"/>
    </row>
    <row r="53" spans="1:9" ht="21.75" customHeight="1" x14ac:dyDescent="0.25">
      <c r="A53" s="654"/>
      <c r="B53" s="540"/>
      <c r="C53" s="541" t="s">
        <v>810</v>
      </c>
      <c r="D53" s="520"/>
    </row>
    <row r="54" spans="1:9" ht="52.5" customHeight="1" x14ac:dyDescent="0.25">
      <c r="A54" s="654"/>
      <c r="B54" s="540"/>
      <c r="C54" s="539" t="s">
        <v>811</v>
      </c>
      <c r="D54" s="520"/>
    </row>
    <row r="55" spans="1:9" ht="19.5" customHeight="1" x14ac:dyDescent="0.25">
      <c r="A55" s="655"/>
      <c r="B55" s="540"/>
      <c r="C55" s="541" t="s">
        <v>812</v>
      </c>
      <c r="D55" s="520"/>
    </row>
    <row r="56" spans="1:9" ht="51" customHeight="1" x14ac:dyDescent="0.25">
      <c r="A56" s="655"/>
      <c r="B56" s="540"/>
      <c r="C56" s="539" t="s">
        <v>813</v>
      </c>
      <c r="D56" s="520"/>
    </row>
    <row r="57" spans="1:9" ht="19.5" customHeight="1" x14ac:dyDescent="0.25">
      <c r="A57" s="655"/>
      <c r="B57" s="540"/>
      <c r="C57" s="541" t="s">
        <v>814</v>
      </c>
      <c r="D57" s="520"/>
    </row>
    <row r="58" spans="1:9" ht="29.25" customHeight="1" x14ac:dyDescent="0.25">
      <c r="A58" s="655"/>
      <c r="B58" s="540"/>
      <c r="C58" s="539" t="s">
        <v>815</v>
      </c>
      <c r="D58" s="520"/>
    </row>
    <row r="59" spans="1:9" ht="19.5" customHeight="1" x14ac:dyDescent="0.25">
      <c r="A59" s="656"/>
      <c r="B59" s="540"/>
      <c r="C59" s="541" t="s">
        <v>816</v>
      </c>
      <c r="D59" s="520"/>
    </row>
    <row r="60" spans="1:9" ht="138.75" customHeight="1" x14ac:dyDescent="0.25">
      <c r="A60" s="652">
        <v>9</v>
      </c>
      <c r="B60" s="532" t="s">
        <v>817</v>
      </c>
      <c r="C60" s="519" t="s">
        <v>818</v>
      </c>
      <c r="D60" s="520"/>
    </row>
    <row r="61" spans="1:9" ht="171" customHeight="1" x14ac:dyDescent="0.25">
      <c r="A61" s="652">
        <v>9</v>
      </c>
      <c r="B61" s="525" t="s">
        <v>396</v>
      </c>
      <c r="C61" s="519" t="s">
        <v>819</v>
      </c>
      <c r="D61" s="520"/>
    </row>
    <row r="62" spans="1:9" ht="57" customHeight="1" x14ac:dyDescent="0.25">
      <c r="A62" s="652">
        <v>9</v>
      </c>
      <c r="B62" s="525" t="s">
        <v>820</v>
      </c>
      <c r="C62" s="519" t="s">
        <v>821</v>
      </c>
      <c r="D62" s="520"/>
    </row>
    <row r="63" spans="1:9" ht="213" customHeight="1" x14ac:dyDescent="0.25">
      <c r="A63" s="652">
        <v>9</v>
      </c>
      <c r="B63" s="532" t="s">
        <v>822</v>
      </c>
      <c r="C63" s="533" t="s">
        <v>823</v>
      </c>
      <c r="D63" s="542"/>
      <c r="I63" s="160"/>
    </row>
    <row r="64" spans="1:9" ht="60" customHeight="1" x14ac:dyDescent="0.25">
      <c r="A64" s="652">
        <v>9</v>
      </c>
      <c r="B64" s="532" t="s">
        <v>424</v>
      </c>
      <c r="C64" s="543" t="s">
        <v>824</v>
      </c>
      <c r="D64" s="544"/>
    </row>
    <row r="65" spans="1:4" ht="57.75" customHeight="1" x14ac:dyDescent="0.25">
      <c r="A65" s="650">
        <v>10</v>
      </c>
      <c r="B65" s="532" t="s">
        <v>739</v>
      </c>
      <c r="C65" s="635" t="s">
        <v>825</v>
      </c>
      <c r="D65" s="636"/>
    </row>
    <row r="66" spans="1:4" ht="60" customHeight="1" x14ac:dyDescent="0.25">
      <c r="A66" s="650">
        <v>10</v>
      </c>
      <c r="B66" s="532" t="s">
        <v>431</v>
      </c>
      <c r="C66" s="543" t="s">
        <v>826</v>
      </c>
      <c r="D66" s="636"/>
    </row>
    <row r="67" spans="1:4" ht="60" customHeight="1" x14ac:dyDescent="0.25">
      <c r="A67" s="650">
        <v>10</v>
      </c>
      <c r="B67" s="532" t="s">
        <v>827</v>
      </c>
      <c r="C67" s="531" t="s">
        <v>828</v>
      </c>
      <c r="D67" s="544"/>
    </row>
    <row r="68" spans="1:4" ht="60" customHeight="1" x14ac:dyDescent="0.25">
      <c r="A68" s="650">
        <v>10</v>
      </c>
      <c r="B68" s="532" t="s">
        <v>829</v>
      </c>
      <c r="C68" s="531" t="s">
        <v>830</v>
      </c>
      <c r="D68" s="544"/>
    </row>
    <row r="69" spans="1:4" ht="67.5" customHeight="1" x14ac:dyDescent="0.25">
      <c r="A69" s="650">
        <v>10</v>
      </c>
      <c r="B69" s="532" t="s">
        <v>162</v>
      </c>
      <c r="C69" s="531" t="s">
        <v>831</v>
      </c>
      <c r="D69" s="544"/>
    </row>
    <row r="70" spans="1:4" ht="81.75" customHeight="1" x14ac:dyDescent="0.25">
      <c r="A70" s="650">
        <v>10</v>
      </c>
      <c r="B70" s="532" t="s">
        <v>832</v>
      </c>
      <c r="C70" s="531" t="s">
        <v>833</v>
      </c>
      <c r="D70" s="544"/>
    </row>
    <row r="71" spans="1:4" ht="60" customHeight="1" x14ac:dyDescent="0.25">
      <c r="A71" s="650">
        <v>10</v>
      </c>
      <c r="B71" s="532" t="s">
        <v>834</v>
      </c>
      <c r="C71" s="531" t="s">
        <v>835</v>
      </c>
      <c r="D71" s="544"/>
    </row>
    <row r="72" spans="1:4" ht="60" customHeight="1" x14ac:dyDescent="0.25">
      <c r="A72" s="880">
        <v>10</v>
      </c>
      <c r="B72" s="882" t="s">
        <v>469</v>
      </c>
      <c r="C72" s="637" t="s">
        <v>1177</v>
      </c>
      <c r="D72" s="638"/>
    </row>
    <row r="73" spans="1:4" ht="19.5" customHeight="1" x14ac:dyDescent="0.25">
      <c r="A73" s="881"/>
      <c r="B73" s="883"/>
      <c r="C73" s="682" t="s">
        <v>836</v>
      </c>
      <c r="D73" s="489"/>
    </row>
    <row r="74" spans="1:4" ht="44.25" customHeight="1" x14ac:dyDescent="0.25">
      <c r="A74" s="650">
        <v>10</v>
      </c>
      <c r="B74" s="532" t="s">
        <v>837</v>
      </c>
      <c r="C74" s="639" t="s">
        <v>838</v>
      </c>
      <c r="D74" s="640"/>
    </row>
    <row r="75" spans="1:4" ht="45.75" customHeight="1" x14ac:dyDescent="0.25">
      <c r="A75" s="650">
        <v>10</v>
      </c>
      <c r="B75" s="532" t="s">
        <v>839</v>
      </c>
      <c r="C75" s="531" t="s">
        <v>840</v>
      </c>
      <c r="D75" s="544"/>
    </row>
    <row r="76" spans="1:4" ht="46.5" customHeight="1" x14ac:dyDescent="0.25">
      <c r="A76" s="650">
        <v>10</v>
      </c>
      <c r="B76" s="532" t="s">
        <v>841</v>
      </c>
      <c r="C76" s="531" t="s">
        <v>842</v>
      </c>
      <c r="D76" s="544"/>
    </row>
    <row r="77" spans="1:4" ht="86.25" customHeight="1" x14ac:dyDescent="0.25">
      <c r="A77" s="650">
        <v>10</v>
      </c>
      <c r="B77" s="532" t="s">
        <v>843</v>
      </c>
      <c r="C77" s="531" t="s">
        <v>844</v>
      </c>
      <c r="D77" s="544"/>
    </row>
    <row r="78" spans="1:4" ht="26.4" x14ac:dyDescent="0.25">
      <c r="A78" s="650">
        <v>10</v>
      </c>
      <c r="B78" s="532" t="s">
        <v>845</v>
      </c>
      <c r="C78" s="531" t="s">
        <v>846</v>
      </c>
      <c r="D78" s="544"/>
    </row>
    <row r="79" spans="1:4" ht="342" customHeight="1" x14ac:dyDescent="0.25">
      <c r="A79" s="650">
        <v>10</v>
      </c>
      <c r="B79" s="532" t="s">
        <v>847</v>
      </c>
      <c r="C79" s="533" t="s">
        <v>848</v>
      </c>
      <c r="D79" s="544"/>
    </row>
    <row r="80" spans="1:4" ht="125.25" customHeight="1" x14ac:dyDescent="0.25">
      <c r="A80" s="650">
        <v>10</v>
      </c>
      <c r="B80" s="532" t="s">
        <v>849</v>
      </c>
      <c r="C80" s="533" t="s">
        <v>1221</v>
      </c>
      <c r="D80" s="544"/>
    </row>
    <row r="81" spans="1:10" ht="72" customHeight="1" x14ac:dyDescent="0.25">
      <c r="A81" s="650">
        <v>10</v>
      </c>
      <c r="B81" s="532" t="s">
        <v>1222</v>
      </c>
      <c r="C81" s="531" t="s">
        <v>1223</v>
      </c>
      <c r="D81" s="544"/>
    </row>
    <row r="82" spans="1:10" ht="69" customHeight="1" x14ac:dyDescent="0.25">
      <c r="A82" s="650">
        <v>10</v>
      </c>
      <c r="B82" s="532" t="s">
        <v>1224</v>
      </c>
      <c r="C82" s="533" t="s">
        <v>1225</v>
      </c>
      <c r="D82" s="544"/>
    </row>
    <row r="83" spans="1:10" ht="108.75" customHeight="1" x14ac:dyDescent="0.25">
      <c r="A83" s="650">
        <v>10</v>
      </c>
      <c r="B83" s="532" t="s">
        <v>850</v>
      </c>
      <c r="C83" s="533" t="s">
        <v>1176</v>
      </c>
      <c r="D83" s="544"/>
    </row>
    <row r="84" spans="1:10" ht="130.5" customHeight="1" x14ac:dyDescent="0.25">
      <c r="A84" s="650">
        <v>10</v>
      </c>
      <c r="B84" s="532" t="s">
        <v>851</v>
      </c>
      <c r="C84" s="533" t="s">
        <v>852</v>
      </c>
      <c r="D84" s="544"/>
    </row>
    <row r="85" spans="1:10" ht="81.75" customHeight="1" x14ac:dyDescent="0.25">
      <c r="A85" s="650" t="s">
        <v>853</v>
      </c>
      <c r="B85" s="641" t="s">
        <v>739</v>
      </c>
      <c r="C85" s="642" t="s">
        <v>854</v>
      </c>
      <c r="D85" s="636"/>
    </row>
    <row r="86" spans="1:10" s="4" customFormat="1" ht="29.25" customHeight="1" x14ac:dyDescent="0.25">
      <c r="A86" s="650" t="s">
        <v>853</v>
      </c>
      <c r="B86" s="641" t="s">
        <v>855</v>
      </c>
      <c r="C86" s="643" t="s">
        <v>1226</v>
      </c>
      <c r="D86" s="489"/>
    </row>
    <row r="87" spans="1:10" ht="81" customHeight="1" x14ac:dyDescent="0.25">
      <c r="A87" s="650" t="s">
        <v>853</v>
      </c>
      <c r="B87" s="532" t="s">
        <v>856</v>
      </c>
      <c r="C87" s="543" t="s">
        <v>1227</v>
      </c>
      <c r="D87" s="636"/>
    </row>
    <row r="88" spans="1:10" ht="69" customHeight="1" x14ac:dyDescent="0.25">
      <c r="A88" s="650" t="s">
        <v>853</v>
      </c>
      <c r="B88" s="532" t="s">
        <v>857</v>
      </c>
      <c r="C88" s="685" t="s">
        <v>1233</v>
      </c>
      <c r="D88" s="544"/>
    </row>
    <row r="89" spans="1:10" ht="79.5" customHeight="1" x14ac:dyDescent="0.25">
      <c r="A89" s="651" t="s">
        <v>1239</v>
      </c>
      <c r="B89" s="641" t="s">
        <v>858</v>
      </c>
      <c r="C89" s="686" t="s">
        <v>1213</v>
      </c>
      <c r="D89" s="644"/>
    </row>
    <row r="90" spans="1:10" ht="39.6" x14ac:dyDescent="0.25">
      <c r="A90" s="651" t="s">
        <v>1239</v>
      </c>
      <c r="B90" s="641" t="s">
        <v>859</v>
      </c>
      <c r="C90" s="686" t="s">
        <v>1158</v>
      </c>
      <c r="D90" s="644"/>
      <c r="E90" s="545"/>
      <c r="F90" s="545"/>
      <c r="G90" s="545"/>
      <c r="H90" s="545"/>
      <c r="I90" s="545"/>
      <c r="J90" s="545"/>
    </row>
    <row r="91" spans="1:10" ht="42.45" customHeight="1" x14ac:dyDescent="0.25">
      <c r="A91" s="651" t="s">
        <v>1239</v>
      </c>
      <c r="B91" s="641" t="s">
        <v>860</v>
      </c>
      <c r="C91" s="543" t="s">
        <v>1230</v>
      </c>
      <c r="D91" s="644"/>
      <c r="E91" s="545"/>
      <c r="F91" s="545"/>
      <c r="G91" s="545"/>
      <c r="H91" s="545"/>
      <c r="I91" s="545"/>
      <c r="J91" s="545"/>
    </row>
    <row r="92" spans="1:10" ht="55.5" customHeight="1" x14ac:dyDescent="0.25">
      <c r="A92" s="651" t="s">
        <v>1239</v>
      </c>
      <c r="B92" s="641" t="s">
        <v>861</v>
      </c>
      <c r="C92" s="543" t="s">
        <v>862</v>
      </c>
      <c r="D92" s="644"/>
      <c r="E92" s="545"/>
      <c r="F92" s="545"/>
      <c r="G92" s="545"/>
      <c r="H92" s="545"/>
      <c r="I92" s="545"/>
      <c r="J92" s="545"/>
    </row>
    <row r="93" spans="1:10" ht="39.6" x14ac:dyDescent="0.25">
      <c r="A93" s="651" t="s">
        <v>1239</v>
      </c>
      <c r="B93" s="641" t="s">
        <v>863</v>
      </c>
      <c r="C93" s="543" t="s">
        <v>1235</v>
      </c>
      <c r="D93" s="644"/>
      <c r="E93" s="545"/>
      <c r="F93" s="545"/>
      <c r="G93" s="545"/>
      <c r="H93" s="545"/>
      <c r="I93" s="545"/>
      <c r="J93" s="545"/>
    </row>
    <row r="94" spans="1:10" ht="52.8" x14ac:dyDescent="0.25">
      <c r="A94" s="651" t="s">
        <v>1239</v>
      </c>
      <c r="B94" s="641" t="s">
        <v>864</v>
      </c>
      <c r="C94" s="686" t="s">
        <v>1159</v>
      </c>
      <c r="D94" s="644"/>
      <c r="E94" s="545"/>
      <c r="F94" s="545"/>
      <c r="G94" s="545"/>
      <c r="H94" s="545"/>
      <c r="I94" s="545"/>
      <c r="J94" s="545"/>
    </row>
    <row r="95" spans="1:10" ht="54" customHeight="1" x14ac:dyDescent="0.25">
      <c r="A95" s="651" t="s">
        <v>1239</v>
      </c>
      <c r="B95" s="532" t="s">
        <v>1160</v>
      </c>
      <c r="C95" s="686" t="s">
        <v>1161</v>
      </c>
      <c r="D95" s="644"/>
      <c r="E95" s="545"/>
      <c r="F95" s="545"/>
      <c r="G95" s="545"/>
      <c r="H95" s="545"/>
      <c r="I95" s="545"/>
      <c r="J95" s="545"/>
    </row>
    <row r="96" spans="1:10" ht="39.6" x14ac:dyDescent="0.35">
      <c r="A96" s="651" t="s">
        <v>1239</v>
      </c>
      <c r="B96" s="641" t="s">
        <v>865</v>
      </c>
      <c r="C96" s="643" t="s">
        <v>866</v>
      </c>
      <c r="D96" s="645"/>
    </row>
    <row r="97" spans="1:4" ht="39.6" x14ac:dyDescent="0.35">
      <c r="A97" s="651" t="s">
        <v>1239</v>
      </c>
      <c r="B97" s="641" t="s">
        <v>867</v>
      </c>
      <c r="C97" s="643" t="s">
        <v>868</v>
      </c>
      <c r="D97" s="645"/>
    </row>
    <row r="98" spans="1:4" ht="39.6" x14ac:dyDescent="0.35">
      <c r="A98" s="651" t="s">
        <v>1239</v>
      </c>
      <c r="B98" s="641" t="s">
        <v>869</v>
      </c>
      <c r="C98" s="643" t="s">
        <v>870</v>
      </c>
      <c r="D98" s="645"/>
    </row>
    <row r="99" spans="1:4" ht="56.25" customHeight="1" x14ac:dyDescent="0.35">
      <c r="A99" s="651" t="s">
        <v>1239</v>
      </c>
      <c r="B99" s="646" t="s">
        <v>871</v>
      </c>
      <c r="C99" s="643" t="s">
        <v>872</v>
      </c>
      <c r="D99" s="647"/>
    </row>
    <row r="100" spans="1:4" ht="39.6" x14ac:dyDescent="0.25">
      <c r="A100" s="651" t="s">
        <v>1239</v>
      </c>
      <c r="B100" s="532" t="s">
        <v>873</v>
      </c>
      <c r="C100" s="543" t="s">
        <v>1162</v>
      </c>
      <c r="D100" s="648"/>
    </row>
    <row r="101" spans="1:4" ht="94.95" customHeight="1" x14ac:dyDescent="0.25">
      <c r="A101" s="651" t="s">
        <v>1239</v>
      </c>
      <c r="B101" s="532" t="s">
        <v>874</v>
      </c>
      <c r="C101" s="668" t="s">
        <v>1236</v>
      </c>
      <c r="D101" s="649"/>
    </row>
    <row r="102" spans="1:4" ht="79.2" x14ac:dyDescent="0.25">
      <c r="A102" s="651" t="s">
        <v>1239</v>
      </c>
      <c r="B102" s="532" t="s">
        <v>875</v>
      </c>
      <c r="C102" s="668" t="s">
        <v>1163</v>
      </c>
      <c r="D102" s="649"/>
    </row>
    <row r="103" spans="1:4" x14ac:dyDescent="0.25">
      <c r="A103" s="546"/>
      <c r="C103" s="622"/>
      <c r="D103" s="547"/>
    </row>
    <row r="104" spans="1:4" x14ac:dyDescent="0.25">
      <c r="C104" s="622"/>
      <c r="D104" s="547"/>
    </row>
    <row r="105" spans="1:4" x14ac:dyDescent="0.25">
      <c r="C105" s="622"/>
      <c r="D105" s="547"/>
    </row>
  </sheetData>
  <sheetProtection sheet="1" formatCells="0" formatColumns="0" formatRows="0" sort="0" autoFilter="0"/>
  <autoFilter ref="A1:D102" xr:uid="{00000000-0009-0000-0000-00000F000000}"/>
  <mergeCells count="5">
    <mergeCell ref="A2:B6"/>
    <mergeCell ref="A9:A10"/>
    <mergeCell ref="B9:B10"/>
    <mergeCell ref="A72:A73"/>
    <mergeCell ref="B72:B73"/>
  </mergeCells>
  <hyperlinks>
    <hyperlink ref="A11" location="'Page 1'!A1" display="'Page 1'!A1" xr:uid="{00000000-0004-0000-0F00-000000000000}"/>
    <hyperlink ref="A16" location="'Page 2'!A1" display="'Page 2'!A1" xr:uid="{00000000-0004-0000-0F00-000001000000}"/>
    <hyperlink ref="A17" location="'Page 2'!A1" display="'Page 2'!A1" xr:uid="{00000000-0004-0000-0F00-000002000000}"/>
    <hyperlink ref="A2:B2" location="'Cover Page'!A1" display="General" xr:uid="{00000000-0004-0000-0F00-000003000000}"/>
    <hyperlink ref="A7" location="'Cover Page'!A1" display="Cover" xr:uid="{00000000-0004-0000-0F00-000004000000}"/>
    <hyperlink ref="A13" location="'Page 1'!A1" display="'Page 1'!A1" xr:uid="{00000000-0004-0000-0F00-000005000000}"/>
    <hyperlink ref="A14" location="'Page 1'!A1" display="'Page 1'!A1" xr:uid="{00000000-0004-0000-0F00-000006000000}"/>
    <hyperlink ref="A12" location="'Page 1'!A1" display="'Page 1'!A1" xr:uid="{00000000-0004-0000-0F00-000007000000}"/>
    <hyperlink ref="A15" location="'Page 1'!A1" display="'Page 1'!A1" xr:uid="{00000000-0004-0000-0F00-000008000000}"/>
    <hyperlink ref="A9" location="'Accounting Data'!A1" display="Accounting data tab" xr:uid="{00000000-0004-0000-0F00-000009000000}"/>
    <hyperlink ref="A8" location="'School listing'!A1" display="School listing tab" xr:uid="{00000000-0004-0000-0F00-00000A000000}"/>
    <hyperlink ref="C51" r:id="rId1" xr:uid="{00000000-0004-0000-0F00-00000B000000}"/>
    <hyperlink ref="C53" r:id="rId2" xr:uid="{00000000-0004-0000-0F00-00000C000000}"/>
    <hyperlink ref="C55" r:id="rId3" display="https://www.azed.gov/titlei/sample-page/rural-low-income-schools-rlis/" xr:uid="{00000000-0004-0000-0F00-00000D000000}"/>
    <hyperlink ref="C57" r:id="rId4" xr:uid="{00000000-0004-0000-0F00-00000E000000}"/>
    <hyperlink ref="C59" r:id="rId5" xr:uid="{00000000-0004-0000-0F00-00000F000000}"/>
    <hyperlink ref="A18" location="'Page 3'!A1" display="'Page 3'!A1" xr:uid="{00000000-0004-0000-0F00-000010000000}"/>
    <hyperlink ref="A20" location="'Page 3'!A1" display="'Page 3'!A1" xr:uid="{00000000-0004-0000-0F00-000011000000}"/>
    <hyperlink ref="A19" location="'Page 3'!A1" display="'Page 3'!A1" xr:uid="{00000000-0004-0000-0F00-000012000000}"/>
    <hyperlink ref="A22" location="'Page 4'!A1" display="'Page 4'!A1" xr:uid="{00000000-0004-0000-0F00-000013000000}"/>
    <hyperlink ref="A23" location="'Page 6'!A1" display="'Page 6'!A1" xr:uid="{00000000-0004-0000-0F00-000014000000}"/>
    <hyperlink ref="A24" location="'Page 6'!A1" display="'Page 6'!A1" xr:uid="{00000000-0004-0000-0F00-000015000000}"/>
    <hyperlink ref="A25" location="'Page 6'!A1" display="'Page 6'!A1" xr:uid="{00000000-0004-0000-0F00-000016000000}"/>
    <hyperlink ref="A26" location="'Page 6'!A1" display="'Page 6'!A1" xr:uid="{00000000-0004-0000-0F00-000017000000}"/>
    <hyperlink ref="A27" location="'Page 6'!A1" display="'Page 6'!A1" xr:uid="{00000000-0004-0000-0F00-000018000000}"/>
    <hyperlink ref="A28" location="'Page 6'!A1" display="'Page 6'!A1" xr:uid="{00000000-0004-0000-0F00-000019000000}"/>
    <hyperlink ref="A29" location="'Page 6'!A1" display="'Page 6'!A1" xr:uid="{00000000-0004-0000-0F00-00001A000000}"/>
    <hyperlink ref="A30" location="'Page 6'!A1" display="'Page 6'!A1" xr:uid="{00000000-0004-0000-0F00-00001B000000}"/>
    <hyperlink ref="A31" location="'Page 6'!A1" display="'Page 6'!A1" xr:uid="{00000000-0004-0000-0F00-00001C000000}"/>
    <hyperlink ref="A32" location="'Page 6'!A1" display="'Page 6'!A1" xr:uid="{00000000-0004-0000-0F00-00001D000000}"/>
    <hyperlink ref="A33" location="'Page 6'!A1" display="'Page 6'!A1" xr:uid="{00000000-0004-0000-0F00-00001E000000}"/>
    <hyperlink ref="A34" location="'Page 6'!A1" display="'Page 6'!A1" xr:uid="{00000000-0004-0000-0F00-00001F000000}"/>
    <hyperlink ref="A35" location="'Page 6'!A1" display="'Page 6'!A1" xr:uid="{00000000-0004-0000-0F00-000020000000}"/>
    <hyperlink ref="A36" location="'Page 6'!A1" display="'Page 6'!A1" xr:uid="{00000000-0004-0000-0F00-000021000000}"/>
    <hyperlink ref="A37" location="'Page 6'!A1" display="'Page 6'!A1" xr:uid="{00000000-0004-0000-0F00-000022000000}"/>
    <hyperlink ref="A38" location="'Page 7'!A1" display="'Page 7'!A1" xr:uid="{00000000-0004-0000-0F00-000023000000}"/>
    <hyperlink ref="A39" location="'Page 7'!A1" display="'Page 7'!A1" xr:uid="{00000000-0004-0000-0F00-000024000000}"/>
    <hyperlink ref="A40" location="'Page 7'!A1" display="'Page 7'!A1" xr:uid="{00000000-0004-0000-0F00-000025000000}"/>
    <hyperlink ref="A41" location="'Page 7'!A1" display="'Page 7'!A1" xr:uid="{00000000-0004-0000-0F00-000026000000}"/>
    <hyperlink ref="A43" location="'Page 8'!A1" display="'Page 8'!A1" xr:uid="{00000000-0004-0000-0F00-000027000000}"/>
    <hyperlink ref="A44" location="'Page 8'!A1" display="'Page 8'!A1" xr:uid="{00000000-0004-0000-0F00-000028000000}"/>
    <hyperlink ref="A45" location="'Page 8'!A1" display="'Page 8'!A1" xr:uid="{00000000-0004-0000-0F00-000029000000}"/>
    <hyperlink ref="A46" location="'Page 9'!A1" display="'Page 9'!A1" xr:uid="{00000000-0004-0000-0F00-00002A000000}"/>
    <hyperlink ref="A47" location="'Page 9'!A1" display="'Page 9'!A1" xr:uid="{00000000-0004-0000-0F00-00002B000000}"/>
    <hyperlink ref="A48" location="'Page 9'!A1" display="'Page 9'!A1" xr:uid="{00000000-0004-0000-0F00-00002C000000}"/>
    <hyperlink ref="A49" location="'Page 9'!A1" display="'Page 9'!A1" xr:uid="{00000000-0004-0000-0F00-00002D000000}"/>
    <hyperlink ref="A50" location="'Page 9'!A1" display="'Page 9'!A1" xr:uid="{00000000-0004-0000-0F00-00002E000000}"/>
    <hyperlink ref="A60" location="'Page 9'!A1" display="'Page 9'!A1" xr:uid="{00000000-0004-0000-0F00-00002F000000}"/>
    <hyperlink ref="A61" location="'Page 9'!A1" display="'Page 9'!A1" xr:uid="{00000000-0004-0000-0F00-000030000000}"/>
    <hyperlink ref="A62" location="'Page 9'!A1" display="'Page 9'!A1" xr:uid="{00000000-0004-0000-0F00-000031000000}"/>
    <hyperlink ref="A63" location="'Page 9'!A1" display="'Page 9'!A1" xr:uid="{00000000-0004-0000-0F00-000032000000}"/>
    <hyperlink ref="A64" location="'Page 9'!A1" display="'Page 9'!A1" xr:uid="{00000000-0004-0000-0F00-000033000000}"/>
    <hyperlink ref="A21" location="'Page 3'!A1" display="'Page 3'!A1" xr:uid="{00000000-0004-0000-0F00-000034000000}"/>
    <hyperlink ref="A66" location="'Page 10'!A1" display="'Page 10'!A1" xr:uid="{00000000-0004-0000-0F00-000035000000}"/>
    <hyperlink ref="A89" location="'Project balance reserves'!A1" display="Project balance reserves tab" xr:uid="{00000000-0004-0000-0F00-000036000000}"/>
    <hyperlink ref="A65" location="'Page 10'!A1" display="'Page 10'!A1" xr:uid="{00000000-0004-0000-0F00-00003A000000}"/>
    <hyperlink ref="A67" location="'Page 10'!A1" display="'Page 10'!A1" xr:uid="{00000000-0004-0000-0F00-00003B000000}"/>
    <hyperlink ref="C73" r:id="rId6" display="https://www.azauditor.gov/District_charter_ADE_COVID-19_spending_special_report_FY_2022" xr:uid="{00000000-0004-0000-0F00-00003C000000}"/>
    <hyperlink ref="A68" location="'Page 10'!A1" display="'Page 10'!A1" xr:uid="{00000000-0004-0000-0F00-00003D000000}"/>
    <hyperlink ref="A84" location="'Page 10'!A1" display="'Page 10'!A1" xr:uid="{00000000-0004-0000-0F00-00003E000000}"/>
    <hyperlink ref="A69" location="'Page 10'!A1" display="'Page 10'!A1" xr:uid="{00000000-0004-0000-0F00-00003F000000}"/>
    <hyperlink ref="A70" location="'Page 10'!A1" display="'Page 10'!A1" xr:uid="{00000000-0004-0000-0F00-000040000000}"/>
    <hyperlink ref="A71" location="'Page 10'!A1" display="'Page 10'!A1" xr:uid="{00000000-0004-0000-0F00-000041000000}"/>
    <hyperlink ref="A74" location="'Page 10'!A1" display="'Page 10'!A1" xr:uid="{00000000-0004-0000-0F00-000042000000}"/>
    <hyperlink ref="A75" location="'Page 10'!A1" display="'Page 10'!A1" xr:uid="{00000000-0004-0000-0F00-000043000000}"/>
    <hyperlink ref="A76" location="'Page 10'!A1" display="'Page 10'!A1" xr:uid="{00000000-0004-0000-0F00-000044000000}"/>
    <hyperlink ref="A77" location="'Page 10'!A1" display="'Page 10'!A1" xr:uid="{00000000-0004-0000-0F00-000045000000}"/>
    <hyperlink ref="A78" location="'Page 10'!A1" display="'Page 10'!A1" xr:uid="{00000000-0004-0000-0F00-000046000000}"/>
    <hyperlink ref="A79" location="'Page 10'!A1" display="'Page 10'!A1" xr:uid="{00000000-0004-0000-0F00-000047000000}"/>
    <hyperlink ref="A80" location="'Page 10'!A1" display="'Page 10'!A1" xr:uid="{00000000-0004-0000-0F00-000048000000}"/>
    <hyperlink ref="A81" location="'Page 10'!A1" display="'Page 10'!A1" xr:uid="{00000000-0004-0000-0F00-000049000000}"/>
    <hyperlink ref="A82" location="'Page 10'!A1" display="'Page 10'!A1" xr:uid="{00000000-0004-0000-0F00-00004A000000}"/>
    <hyperlink ref="A83" location="'Page 10'!A1" display="'Page 10'!A1" xr:uid="{00000000-0004-0000-0F00-00004B000000}"/>
    <hyperlink ref="A85" location="Summary!A1" display="Summary" xr:uid="{00000000-0004-0000-0F00-00004C000000}"/>
    <hyperlink ref="A86" location="Summary!A1" display="Summary" xr:uid="{00000000-0004-0000-0F00-00004D000000}"/>
    <hyperlink ref="A87" location="Summary!A1" display="Summary" xr:uid="{00000000-0004-0000-0F00-00004E000000}"/>
    <hyperlink ref="A88" location="Summary!A1" display="Summary" xr:uid="{00000000-0004-0000-0F00-00004F000000}"/>
    <hyperlink ref="A42" location="'Page 8'!A1" display="'Page 8'!A1" xr:uid="{00000000-0004-0000-0F00-000050000000}"/>
    <hyperlink ref="A72:A73" location="'Page 10'!A1" display="'Page 10'!A1" xr:uid="{00000000-0004-0000-0F00-000051000000}"/>
    <hyperlink ref="A90:A102" location="'Project balance reserves'!A1" display="Project balance reserves tab" xr:uid="{21B37408-9740-4DEC-8355-D71854851F90}"/>
  </hyperlinks>
  <pageMargins left="0.75" right="0.25" top="0.25" bottom="0.25" header="0.5" footer="0.15"/>
  <pageSetup paperSize="5" scale="11" orientation="landscape" r:id="rId7"/>
  <headerFooter>
    <oddFooter>&amp;LRev. 8/24 Arizona Department of Education and Auditor General&amp;CFY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113"/>
  <sheetViews>
    <sheetView topLeftCell="F9" zoomScale="110" zoomScaleNormal="110" workbookViewId="0">
      <selection activeCell="G29" sqref="G29:G30"/>
    </sheetView>
  </sheetViews>
  <sheetFormatPr defaultColWidth="9.6640625" defaultRowHeight="14.4" x14ac:dyDescent="0.3"/>
  <cols>
    <col min="1" max="1" width="48" style="11" customWidth="1"/>
    <col min="2" max="2" width="45" style="11" customWidth="1"/>
    <col min="3" max="3" width="38.109375" style="11" customWidth="1"/>
    <col min="4" max="4" width="38" style="11" customWidth="1"/>
    <col min="5" max="5" width="40.109375" style="11" customWidth="1"/>
    <col min="6" max="6" width="43" style="11" customWidth="1"/>
    <col min="7" max="7" width="17.33203125" style="20" customWidth="1"/>
    <col min="8" max="8" width="24.6640625" style="11" bestFit="1" customWidth="1"/>
    <col min="9" max="9" width="22.33203125" style="11" bestFit="1" customWidth="1"/>
    <col min="10" max="10" width="16.33203125" style="11" bestFit="1" customWidth="1"/>
    <col min="11" max="11" width="13.33203125" style="11" bestFit="1" customWidth="1"/>
    <col min="12" max="12" width="9.6640625" style="11" customWidth="1"/>
    <col min="13" max="13" width="58.77734375" style="14" hidden="1" customWidth="1"/>
    <col min="14" max="14" width="55.33203125" style="14" hidden="1" customWidth="1"/>
    <col min="15" max="15" width="45.33203125" style="14" hidden="1" customWidth="1"/>
    <col min="16" max="16" width="90.109375" style="14" hidden="1" customWidth="1"/>
    <col min="17" max="24" width="9.6640625" style="11" customWidth="1"/>
    <col min="25" max="25" width="21.33203125" style="11" hidden="1" customWidth="1"/>
    <col min="26" max="29" width="9.6640625" style="11" customWidth="1"/>
    <col min="30" max="16384" width="9.6640625" style="11"/>
  </cols>
  <sheetData>
    <row r="1" spans="1:25" ht="48" customHeight="1" x14ac:dyDescent="0.3">
      <c r="A1" s="10" t="s">
        <v>876</v>
      </c>
      <c r="B1" s="10" t="s">
        <v>877</v>
      </c>
      <c r="C1" s="10" t="s">
        <v>878</v>
      </c>
      <c r="D1" s="10" t="s">
        <v>879</v>
      </c>
      <c r="E1" s="10" t="s">
        <v>880</v>
      </c>
      <c r="F1" s="10" t="s">
        <v>881</v>
      </c>
      <c r="G1" s="18" t="s">
        <v>882</v>
      </c>
      <c r="H1" s="10" t="s">
        <v>883</v>
      </c>
      <c r="I1" s="10" t="s">
        <v>884</v>
      </c>
      <c r="J1" s="10" t="s">
        <v>885</v>
      </c>
      <c r="K1" s="10" t="s">
        <v>886</v>
      </c>
      <c r="L1" s="10" t="s">
        <v>887</v>
      </c>
      <c r="M1" s="21" t="s">
        <v>888</v>
      </c>
      <c r="N1" s="21" t="s">
        <v>889</v>
      </c>
      <c r="O1" s="21" t="s">
        <v>890</v>
      </c>
      <c r="P1" s="21" t="s">
        <v>891</v>
      </c>
    </row>
    <row r="2" spans="1:25" ht="14.25" customHeight="1" x14ac:dyDescent="0.3">
      <c r="A2" s="666" t="s">
        <v>892</v>
      </c>
      <c r="B2" s="12"/>
      <c r="C2" s="12"/>
      <c r="D2" s="12"/>
      <c r="E2" s="12"/>
      <c r="F2" s="13"/>
      <c r="G2" s="19"/>
      <c r="H2" s="12"/>
      <c r="I2" s="12"/>
      <c r="J2" s="12"/>
      <c r="K2" s="12"/>
      <c r="L2" s="12"/>
      <c r="M2" s="11"/>
      <c r="N2" s="11"/>
      <c r="O2" s="11"/>
      <c r="P2" s="11"/>
      <c r="Y2" s="11" t="s">
        <v>893</v>
      </c>
    </row>
    <row r="3" spans="1:25" ht="14.25" customHeight="1" x14ac:dyDescent="0.3">
      <c r="A3" s="12"/>
      <c r="B3" s="12"/>
      <c r="C3" s="12"/>
      <c r="D3" s="12"/>
      <c r="E3" s="12"/>
      <c r="F3" s="689" t="s">
        <v>1241</v>
      </c>
      <c r="G3" s="690"/>
      <c r="H3" s="12"/>
      <c r="I3" s="12"/>
      <c r="J3" s="12"/>
      <c r="K3" s="12"/>
      <c r="L3" s="12"/>
      <c r="M3" s="15" t="s">
        <v>894</v>
      </c>
      <c r="N3" s="22" t="s">
        <v>893</v>
      </c>
      <c r="O3" s="22" t="s">
        <v>893</v>
      </c>
      <c r="P3" s="22" t="s">
        <v>893</v>
      </c>
      <c r="Y3" s="11" t="s">
        <v>21</v>
      </c>
    </row>
    <row r="4" spans="1:25" ht="14.25" customHeight="1" x14ac:dyDescent="0.3">
      <c r="A4" s="12"/>
      <c r="B4" s="12"/>
      <c r="C4" s="12"/>
      <c r="D4" s="12"/>
      <c r="E4" s="12"/>
      <c r="F4" s="689" t="s">
        <v>1242</v>
      </c>
      <c r="G4" s="690"/>
      <c r="H4" s="12"/>
      <c r="I4" s="12"/>
      <c r="J4" s="12"/>
      <c r="K4" s="12"/>
      <c r="L4" s="12"/>
      <c r="M4" s="22" t="s">
        <v>895</v>
      </c>
      <c r="N4" s="22" t="s">
        <v>21</v>
      </c>
      <c r="O4" s="22" t="s">
        <v>21</v>
      </c>
      <c r="P4" s="22" t="s">
        <v>896</v>
      </c>
      <c r="Y4" s="11">
        <f>'School listing'!F7</f>
        <v>201</v>
      </c>
    </row>
    <row r="5" spans="1:25" ht="14.25" customHeight="1" x14ac:dyDescent="0.3">
      <c r="A5" s="25"/>
      <c r="B5" s="25"/>
      <c r="C5" s="25"/>
      <c r="D5" s="25"/>
      <c r="E5" s="25"/>
      <c r="F5" s="689" t="s">
        <v>1243</v>
      </c>
      <c r="G5" s="691">
        <v>-63.37</v>
      </c>
      <c r="H5" s="25" t="s">
        <v>894</v>
      </c>
      <c r="I5" s="25" t="s">
        <v>21</v>
      </c>
      <c r="J5" s="25" t="s">
        <v>21</v>
      </c>
      <c r="K5" s="25" t="s">
        <v>956</v>
      </c>
      <c r="L5" s="25">
        <v>201</v>
      </c>
      <c r="M5" s="22" t="s">
        <v>897</v>
      </c>
      <c r="N5" s="22" t="s">
        <v>898</v>
      </c>
      <c r="O5" s="22" t="s">
        <v>899</v>
      </c>
      <c r="P5" s="22" t="s">
        <v>900</v>
      </c>
      <c r="Y5" s="11">
        <f>'School listing'!F8</f>
        <v>0</v>
      </c>
    </row>
    <row r="6" spans="1:25" ht="14.25" customHeight="1" x14ac:dyDescent="0.3">
      <c r="A6" s="12"/>
      <c r="B6" s="12"/>
      <c r="C6" s="12"/>
      <c r="D6" s="12"/>
      <c r="E6" s="12"/>
      <c r="F6" s="689" t="s">
        <v>1244</v>
      </c>
      <c r="G6" s="691">
        <v>0</v>
      </c>
      <c r="H6" s="12" t="s">
        <v>894</v>
      </c>
      <c r="I6" s="12" t="s">
        <v>21</v>
      </c>
      <c r="J6" s="12" t="s">
        <v>21</v>
      </c>
      <c r="K6" s="12" t="s">
        <v>972</v>
      </c>
      <c r="L6" s="25">
        <v>201</v>
      </c>
      <c r="M6" s="22" t="s">
        <v>901</v>
      </c>
      <c r="N6" s="22" t="s">
        <v>902</v>
      </c>
      <c r="O6" s="22" t="s">
        <v>903</v>
      </c>
      <c r="P6" s="22" t="s">
        <v>904</v>
      </c>
      <c r="Y6" s="11">
        <f>'School listing'!F9</f>
        <v>0</v>
      </c>
    </row>
    <row r="7" spans="1:25" ht="14.25" customHeight="1" x14ac:dyDescent="0.3">
      <c r="A7" s="12"/>
      <c r="B7" s="12"/>
      <c r="C7" s="12"/>
      <c r="D7" s="12"/>
      <c r="E7" s="12"/>
      <c r="F7" s="689" t="s">
        <v>1245</v>
      </c>
      <c r="G7" s="691">
        <v>0</v>
      </c>
      <c r="H7" s="12" t="s">
        <v>894</v>
      </c>
      <c r="I7" s="12" t="s">
        <v>21</v>
      </c>
      <c r="J7" s="12" t="s">
        <v>21</v>
      </c>
      <c r="K7" s="12" t="s">
        <v>972</v>
      </c>
      <c r="L7" s="25">
        <v>201</v>
      </c>
      <c r="M7" s="22" t="s">
        <v>905</v>
      </c>
      <c r="N7" s="23" t="s">
        <v>906</v>
      </c>
      <c r="O7" s="22" t="s">
        <v>907</v>
      </c>
      <c r="P7" s="22" t="s">
        <v>908</v>
      </c>
      <c r="Y7" s="11">
        <f>'School listing'!F10</f>
        <v>201</v>
      </c>
    </row>
    <row r="8" spans="1:25" ht="14.25" customHeight="1" x14ac:dyDescent="0.3">
      <c r="A8" s="12"/>
      <c r="B8" s="12"/>
      <c r="C8" s="12"/>
      <c r="D8" s="12"/>
      <c r="E8" s="12"/>
      <c r="F8" s="689" t="s">
        <v>1246</v>
      </c>
      <c r="G8" s="692">
        <f>(((G4)+(G5))+(G6))+(G7)</f>
        <v>-63.37</v>
      </c>
      <c r="H8" s="12"/>
      <c r="I8" s="12"/>
      <c r="J8" s="12"/>
      <c r="K8" s="12"/>
      <c r="L8" s="12"/>
      <c r="M8" s="22" t="s">
        <v>909</v>
      </c>
      <c r="N8" s="23" t="s">
        <v>910</v>
      </c>
      <c r="O8" s="22" t="s">
        <v>911</v>
      </c>
      <c r="P8" s="22" t="s">
        <v>912</v>
      </c>
      <c r="Y8" s="11">
        <f>'School listing'!F11</f>
        <v>0</v>
      </c>
    </row>
    <row r="9" spans="1:25" ht="14.25" customHeight="1" x14ac:dyDescent="0.3">
      <c r="A9" s="12"/>
      <c r="B9" s="12"/>
      <c r="C9" s="17"/>
      <c r="D9" s="12"/>
      <c r="E9" s="12"/>
      <c r="F9" s="689" t="s">
        <v>1247</v>
      </c>
      <c r="G9" s="691">
        <v>-6039.22</v>
      </c>
      <c r="H9" s="12" t="s">
        <v>894</v>
      </c>
      <c r="I9" s="12" t="s">
        <v>21</v>
      </c>
      <c r="J9" s="12" t="s">
        <v>21</v>
      </c>
      <c r="K9" s="12" t="s">
        <v>986</v>
      </c>
      <c r="L9" s="25">
        <v>201</v>
      </c>
      <c r="M9" s="22" t="s">
        <v>913</v>
      </c>
      <c r="N9" s="23" t="s">
        <v>914</v>
      </c>
      <c r="O9" s="22" t="s">
        <v>915</v>
      </c>
      <c r="P9" s="22" t="s">
        <v>916</v>
      </c>
      <c r="Y9" s="11">
        <f>'School listing'!F12</f>
        <v>0</v>
      </c>
    </row>
    <row r="10" spans="1:25" x14ac:dyDescent="0.3">
      <c r="F10" s="689" t="s">
        <v>1248</v>
      </c>
      <c r="G10" s="691">
        <v>-173618.72</v>
      </c>
      <c r="H10" s="12" t="s">
        <v>894</v>
      </c>
      <c r="I10" s="12" t="s">
        <v>21</v>
      </c>
      <c r="J10" s="12" t="s">
        <v>21</v>
      </c>
      <c r="K10" s="12" t="s">
        <v>984</v>
      </c>
      <c r="L10" s="25">
        <v>201</v>
      </c>
      <c r="M10" s="22" t="s">
        <v>917</v>
      </c>
      <c r="N10" s="22" t="s">
        <v>918</v>
      </c>
      <c r="O10" s="22" t="s">
        <v>919</v>
      </c>
      <c r="P10" s="22" t="s">
        <v>920</v>
      </c>
      <c r="Y10" s="11">
        <f>'School listing'!F13</f>
        <v>0</v>
      </c>
    </row>
    <row r="11" spans="1:25" x14ac:dyDescent="0.3">
      <c r="F11" s="689" t="s">
        <v>1249</v>
      </c>
      <c r="G11" s="691">
        <v>-1509.81</v>
      </c>
      <c r="H11" s="12" t="s">
        <v>894</v>
      </c>
      <c r="I11" s="12" t="s">
        <v>21</v>
      </c>
      <c r="J11" s="12" t="s">
        <v>21</v>
      </c>
      <c r="K11" s="12" t="s">
        <v>986</v>
      </c>
      <c r="L11" s="25">
        <v>201</v>
      </c>
      <c r="M11" s="22" t="s">
        <v>921</v>
      </c>
      <c r="N11" s="23" t="s">
        <v>922</v>
      </c>
      <c r="O11" s="22" t="s">
        <v>923</v>
      </c>
      <c r="P11" s="22" t="s">
        <v>924</v>
      </c>
      <c r="Y11" s="11">
        <f>'School listing'!F14</f>
        <v>0</v>
      </c>
    </row>
    <row r="12" spans="1:25" x14ac:dyDescent="0.3">
      <c r="F12" s="689" t="s">
        <v>1250</v>
      </c>
      <c r="G12" s="691">
        <v>-1254.98</v>
      </c>
      <c r="H12" s="12" t="s">
        <v>897</v>
      </c>
      <c r="I12" s="12" t="s">
        <v>21</v>
      </c>
      <c r="J12" s="12" t="s">
        <v>21</v>
      </c>
      <c r="K12" s="12" t="s">
        <v>988</v>
      </c>
      <c r="L12" s="25">
        <v>201</v>
      </c>
      <c r="M12" s="22" t="s">
        <v>925</v>
      </c>
      <c r="N12" s="23" t="s">
        <v>926</v>
      </c>
      <c r="O12" s="22" t="s">
        <v>927</v>
      </c>
      <c r="P12" s="22" t="s">
        <v>928</v>
      </c>
      <c r="Y12" s="11">
        <f>'School listing'!F15</f>
        <v>0</v>
      </c>
    </row>
    <row r="13" spans="1:25" x14ac:dyDescent="0.3">
      <c r="F13" s="689" t="s">
        <v>1251</v>
      </c>
      <c r="G13" s="691">
        <v>-20310.13</v>
      </c>
      <c r="H13" s="12" t="s">
        <v>895</v>
      </c>
      <c r="I13" s="12" t="s">
        <v>21</v>
      </c>
      <c r="J13" s="12" t="s">
        <v>21</v>
      </c>
      <c r="K13" s="12" t="s">
        <v>988</v>
      </c>
      <c r="L13" s="25">
        <v>201</v>
      </c>
      <c r="M13" s="22" t="s">
        <v>929</v>
      </c>
      <c r="N13" s="22" t="s">
        <v>930</v>
      </c>
      <c r="O13" s="22" t="s">
        <v>931</v>
      </c>
      <c r="P13" s="22" t="s">
        <v>932</v>
      </c>
      <c r="Y13" s="11">
        <f>'School listing'!F16</f>
        <v>0</v>
      </c>
    </row>
    <row r="14" spans="1:25" x14ac:dyDescent="0.3">
      <c r="F14" s="689" t="s">
        <v>1252</v>
      </c>
      <c r="G14" s="692">
        <f>((((G9)+(G10))+(G11))+(G12))+(G13)</f>
        <v>-202732.86</v>
      </c>
      <c r="H14" s="12"/>
      <c r="I14" s="12"/>
      <c r="J14" s="12"/>
      <c r="K14" s="12"/>
      <c r="L14" s="12"/>
      <c r="M14" s="22" t="s">
        <v>933</v>
      </c>
      <c r="N14" s="22" t="s">
        <v>934</v>
      </c>
      <c r="O14" s="22" t="s">
        <v>935</v>
      </c>
      <c r="P14" s="22" t="s">
        <v>936</v>
      </c>
      <c r="Y14" s="11">
        <f>'School listing'!F17</f>
        <v>0</v>
      </c>
    </row>
    <row r="15" spans="1:25" x14ac:dyDescent="0.3">
      <c r="F15" s="689" t="s">
        <v>1253</v>
      </c>
      <c r="G15" s="691">
        <v>0</v>
      </c>
      <c r="H15" s="12"/>
      <c r="I15" s="12"/>
      <c r="J15" s="12"/>
      <c r="K15" s="12"/>
      <c r="L15" s="12"/>
      <c r="M15" s="22" t="s">
        <v>937</v>
      </c>
      <c r="N15" s="22" t="s">
        <v>938</v>
      </c>
      <c r="O15" s="22" t="s">
        <v>939</v>
      </c>
      <c r="P15" s="24" t="s">
        <v>940</v>
      </c>
      <c r="Y15" s="11">
        <f>'School listing'!F18</f>
        <v>0</v>
      </c>
    </row>
    <row r="16" spans="1:25" x14ac:dyDescent="0.3">
      <c r="B16" s="16"/>
      <c r="F16" s="689" t="s">
        <v>1254</v>
      </c>
      <c r="G16" s="691">
        <v>0</v>
      </c>
      <c r="H16" s="12" t="s">
        <v>973</v>
      </c>
      <c r="I16" s="12" t="s">
        <v>21</v>
      </c>
      <c r="J16" s="12" t="s">
        <v>21</v>
      </c>
      <c r="K16" s="12" t="s">
        <v>995</v>
      </c>
      <c r="L16" s="25">
        <v>201</v>
      </c>
      <c r="M16" s="22" t="s">
        <v>941</v>
      </c>
      <c r="N16" s="22" t="s">
        <v>942</v>
      </c>
      <c r="O16" s="22" t="s">
        <v>943</v>
      </c>
      <c r="P16" s="24" t="s">
        <v>944</v>
      </c>
      <c r="Y16" s="11">
        <f>'School listing'!F19</f>
        <v>0</v>
      </c>
    </row>
    <row r="17" spans="6:25" x14ac:dyDescent="0.3">
      <c r="F17" s="689" t="s">
        <v>1255</v>
      </c>
      <c r="G17" s="691">
        <v>-1842.55</v>
      </c>
      <c r="H17" s="12" t="s">
        <v>937</v>
      </c>
      <c r="I17" s="12" t="s">
        <v>21</v>
      </c>
      <c r="J17" s="12" t="s">
        <v>21</v>
      </c>
      <c r="K17" s="12" t="s">
        <v>995</v>
      </c>
      <c r="L17" s="25">
        <v>201</v>
      </c>
      <c r="M17" s="22" t="s">
        <v>945</v>
      </c>
      <c r="N17" s="22" t="s">
        <v>946</v>
      </c>
      <c r="O17" s="22" t="s">
        <v>947</v>
      </c>
      <c r="P17" s="24" t="s">
        <v>948</v>
      </c>
      <c r="Y17" s="11">
        <f>'School listing'!F20</f>
        <v>0</v>
      </c>
    </row>
    <row r="18" spans="6:25" x14ac:dyDescent="0.3">
      <c r="F18" s="689" t="s">
        <v>1256</v>
      </c>
      <c r="G18" s="691">
        <v>0</v>
      </c>
      <c r="H18" s="12" t="s">
        <v>909</v>
      </c>
      <c r="I18" s="12" t="s">
        <v>21</v>
      </c>
      <c r="J18" s="12" t="s">
        <v>21</v>
      </c>
      <c r="K18" s="12" t="s">
        <v>995</v>
      </c>
      <c r="L18" s="25">
        <v>201</v>
      </c>
      <c r="M18" s="22" t="s">
        <v>949</v>
      </c>
      <c r="N18" s="22" t="s">
        <v>950</v>
      </c>
      <c r="O18" s="22" t="s">
        <v>951</v>
      </c>
      <c r="P18" s="24" t="s">
        <v>952</v>
      </c>
      <c r="Y18" s="11">
        <f>'School listing'!F21</f>
        <v>0</v>
      </c>
    </row>
    <row r="19" spans="6:25" x14ac:dyDescent="0.3">
      <c r="F19" s="689" t="s">
        <v>1257</v>
      </c>
      <c r="G19" s="691">
        <v>-2400.12</v>
      </c>
      <c r="H19" s="12" t="s">
        <v>975</v>
      </c>
      <c r="I19" s="12" t="s">
        <v>21</v>
      </c>
      <c r="J19" s="12" t="s">
        <v>21</v>
      </c>
      <c r="K19" s="12" t="s">
        <v>1003</v>
      </c>
      <c r="L19" s="25">
        <v>201</v>
      </c>
      <c r="M19" s="22" t="s">
        <v>953</v>
      </c>
      <c r="N19" s="22" t="s">
        <v>954</v>
      </c>
      <c r="O19" s="22" t="s">
        <v>955</v>
      </c>
      <c r="P19" s="24" t="s">
        <v>956</v>
      </c>
      <c r="Y19" s="11">
        <f>'School listing'!F22</f>
        <v>0</v>
      </c>
    </row>
    <row r="20" spans="6:25" x14ac:dyDescent="0.3">
      <c r="F20" s="689" t="s">
        <v>1258</v>
      </c>
      <c r="G20" s="692">
        <f>((((((G15)+(G16))+(G17))+(G18))+(G19)))</f>
        <v>-4242.67</v>
      </c>
      <c r="H20" s="12"/>
      <c r="I20" s="12"/>
      <c r="J20" s="12"/>
      <c r="K20" s="12"/>
      <c r="L20" s="12"/>
      <c r="M20" s="22" t="s">
        <v>957</v>
      </c>
      <c r="N20" s="22" t="s">
        <v>958</v>
      </c>
      <c r="O20" s="22" t="s">
        <v>959</v>
      </c>
      <c r="P20" s="24" t="s">
        <v>960</v>
      </c>
      <c r="Y20" s="11">
        <f>'School listing'!F23</f>
        <v>0</v>
      </c>
    </row>
    <row r="21" spans="6:25" x14ac:dyDescent="0.3">
      <c r="F21" s="689" t="s">
        <v>1259</v>
      </c>
      <c r="G21" s="692">
        <f>((G8)+(G14))+(G20)</f>
        <v>-207038.9</v>
      </c>
      <c r="H21" s="12"/>
      <c r="I21" s="12"/>
      <c r="J21" s="12"/>
      <c r="K21" s="12"/>
      <c r="L21" s="12"/>
      <c r="M21" s="22" t="s">
        <v>961</v>
      </c>
      <c r="N21" s="22" t="s">
        <v>962</v>
      </c>
      <c r="O21" s="22" t="s">
        <v>963</v>
      </c>
      <c r="P21" s="24" t="s">
        <v>964</v>
      </c>
      <c r="Y21" s="11">
        <f>'School listing'!F24</f>
        <v>0</v>
      </c>
    </row>
    <row r="22" spans="6:25" x14ac:dyDescent="0.3">
      <c r="F22" s="689" t="s">
        <v>1260</v>
      </c>
      <c r="G22" s="692">
        <f>(G21)-(0)</f>
        <v>-207038.9</v>
      </c>
      <c r="H22" s="12"/>
      <c r="I22" s="12"/>
      <c r="J22" s="12"/>
      <c r="K22" s="12"/>
      <c r="L22" s="12"/>
      <c r="M22" s="22" t="s">
        <v>965</v>
      </c>
      <c r="N22" s="11"/>
      <c r="P22" s="24" t="s">
        <v>966</v>
      </c>
    </row>
    <row r="23" spans="6:25" x14ac:dyDescent="0.3">
      <c r="F23" s="689" t="s">
        <v>92</v>
      </c>
      <c r="G23" s="690"/>
      <c r="H23" s="12"/>
      <c r="I23" s="12"/>
      <c r="J23" s="12"/>
      <c r="K23" s="12"/>
      <c r="L23" s="12"/>
      <c r="M23" s="22" t="s">
        <v>967</v>
      </c>
      <c r="N23" s="11"/>
      <c r="P23" s="24" t="s">
        <v>968</v>
      </c>
    </row>
    <row r="24" spans="6:25" x14ac:dyDescent="0.3">
      <c r="F24" s="689" t="s">
        <v>1261</v>
      </c>
      <c r="G24" s="690"/>
      <c r="H24" s="12"/>
      <c r="I24" s="12"/>
      <c r="J24" s="12"/>
      <c r="K24" s="12"/>
      <c r="L24" s="12"/>
      <c r="M24" s="22" t="s">
        <v>969</v>
      </c>
      <c r="N24" s="11"/>
      <c r="O24" s="11"/>
      <c r="P24" s="24" t="s">
        <v>970</v>
      </c>
    </row>
    <row r="25" spans="6:25" x14ac:dyDescent="0.3">
      <c r="F25" s="689" t="s">
        <v>1262</v>
      </c>
      <c r="G25" s="691">
        <v>0</v>
      </c>
      <c r="H25" s="12" t="s">
        <v>894</v>
      </c>
      <c r="I25" s="12" t="s">
        <v>898</v>
      </c>
      <c r="J25" s="12" t="s">
        <v>899</v>
      </c>
      <c r="K25" s="12" t="s">
        <v>896</v>
      </c>
      <c r="L25" s="25">
        <v>201</v>
      </c>
      <c r="M25" s="22" t="s">
        <v>971</v>
      </c>
      <c r="N25" s="11"/>
      <c r="O25" s="11"/>
      <c r="P25" s="24" t="s">
        <v>972</v>
      </c>
    </row>
    <row r="26" spans="6:25" x14ac:dyDescent="0.3">
      <c r="F26" s="689" t="s">
        <v>1263</v>
      </c>
      <c r="G26" s="691">
        <f>29323-G27</f>
        <v>199.91</v>
      </c>
      <c r="H26" s="12" t="s">
        <v>894</v>
      </c>
      <c r="I26" s="12" t="s">
        <v>898</v>
      </c>
      <c r="J26" s="12" t="s">
        <v>899</v>
      </c>
      <c r="K26" s="12" t="s">
        <v>896</v>
      </c>
      <c r="L26" s="25">
        <v>201</v>
      </c>
      <c r="M26" s="22" t="s">
        <v>973</v>
      </c>
      <c r="N26" s="11"/>
      <c r="O26" s="11"/>
      <c r="P26" s="24" t="s">
        <v>974</v>
      </c>
    </row>
    <row r="27" spans="6:25" x14ac:dyDescent="0.3">
      <c r="F27" s="689" t="s">
        <v>1263</v>
      </c>
      <c r="G27" s="691">
        <v>29123.09</v>
      </c>
      <c r="H27" s="12" t="s">
        <v>895</v>
      </c>
      <c r="I27" s="12" t="s">
        <v>898</v>
      </c>
      <c r="J27" s="12" t="s">
        <v>899</v>
      </c>
      <c r="K27" s="12" t="s">
        <v>896</v>
      </c>
      <c r="L27" s="25">
        <v>201</v>
      </c>
      <c r="M27" s="22" t="s">
        <v>975</v>
      </c>
      <c r="N27" s="11"/>
      <c r="O27" s="11"/>
      <c r="P27" s="24" t="s">
        <v>976</v>
      </c>
    </row>
    <row r="28" spans="6:25" x14ac:dyDescent="0.3">
      <c r="F28" s="689" t="s">
        <v>1264</v>
      </c>
      <c r="G28" s="691">
        <v>0</v>
      </c>
      <c r="H28" s="12" t="s">
        <v>894</v>
      </c>
      <c r="I28" s="12" t="s">
        <v>898</v>
      </c>
      <c r="J28" s="12" t="s">
        <v>899</v>
      </c>
      <c r="K28" s="12" t="s">
        <v>896</v>
      </c>
      <c r="L28" s="25">
        <v>201</v>
      </c>
      <c r="M28" s="22" t="s">
        <v>977</v>
      </c>
      <c r="N28" s="11"/>
      <c r="O28" s="11"/>
      <c r="P28" s="24" t="s">
        <v>978</v>
      </c>
    </row>
    <row r="29" spans="6:25" x14ac:dyDescent="0.3">
      <c r="F29" s="689" t="s">
        <v>1265</v>
      </c>
      <c r="G29" s="691">
        <f>4373.14-G30</f>
        <v>2178.77</v>
      </c>
      <c r="H29" s="12" t="s">
        <v>894</v>
      </c>
      <c r="I29" s="12" t="s">
        <v>898</v>
      </c>
      <c r="J29" s="12" t="s">
        <v>899</v>
      </c>
      <c r="K29" s="12" t="s">
        <v>900</v>
      </c>
      <c r="L29" s="25">
        <v>201</v>
      </c>
      <c r="M29" s="22" t="s">
        <v>979</v>
      </c>
      <c r="N29" s="11"/>
      <c r="O29" s="11"/>
      <c r="P29" s="24" t="s">
        <v>980</v>
      </c>
    </row>
    <row r="30" spans="6:25" x14ac:dyDescent="0.3">
      <c r="F30" s="689" t="s">
        <v>1265</v>
      </c>
      <c r="G30" s="691">
        <v>2194.37</v>
      </c>
      <c r="H30" s="12" t="s">
        <v>895</v>
      </c>
      <c r="I30" s="12" t="s">
        <v>898</v>
      </c>
      <c r="J30" s="12" t="s">
        <v>899</v>
      </c>
      <c r="K30" s="12" t="s">
        <v>900</v>
      </c>
      <c r="L30" s="25">
        <v>201</v>
      </c>
      <c r="M30" s="22" t="s">
        <v>981</v>
      </c>
      <c r="N30" s="11"/>
      <c r="O30" s="11"/>
      <c r="P30" s="24" t="s">
        <v>982</v>
      </c>
    </row>
    <row r="31" spans="6:25" x14ac:dyDescent="0.3">
      <c r="F31" s="689" t="s">
        <v>1266</v>
      </c>
      <c r="G31" s="691">
        <v>0</v>
      </c>
      <c r="H31" s="12" t="s">
        <v>894</v>
      </c>
      <c r="I31" s="12" t="s">
        <v>898</v>
      </c>
      <c r="J31" s="12" t="s">
        <v>899</v>
      </c>
      <c r="K31" s="12" t="s">
        <v>900</v>
      </c>
      <c r="L31" s="25">
        <v>201</v>
      </c>
      <c r="M31" s="22" t="s">
        <v>983</v>
      </c>
      <c r="N31" s="11"/>
      <c r="O31" s="11"/>
      <c r="P31" s="24" t="s">
        <v>984</v>
      </c>
    </row>
    <row r="32" spans="6:25" x14ac:dyDescent="0.3">
      <c r="F32" s="689" t="s">
        <v>1267</v>
      </c>
      <c r="G32" s="691">
        <f>6497.97-G33</f>
        <v>5019.58</v>
      </c>
      <c r="H32" s="12" t="s">
        <v>894</v>
      </c>
      <c r="I32" s="12" t="s">
        <v>898</v>
      </c>
      <c r="J32" s="12" t="s">
        <v>899</v>
      </c>
      <c r="K32" s="12" t="s">
        <v>900</v>
      </c>
      <c r="L32" s="25">
        <v>201</v>
      </c>
      <c r="M32" s="22" t="s">
        <v>985</v>
      </c>
      <c r="N32" s="11"/>
      <c r="O32" s="11"/>
      <c r="P32" s="24" t="s">
        <v>986</v>
      </c>
    </row>
    <row r="33" spans="6:16" x14ac:dyDescent="0.3">
      <c r="F33" s="689" t="s">
        <v>1267</v>
      </c>
      <c r="G33" s="691">
        <v>1478.39</v>
      </c>
      <c r="H33" s="12" t="s">
        <v>895</v>
      </c>
      <c r="I33" s="12" t="s">
        <v>898</v>
      </c>
      <c r="J33" s="12" t="s">
        <v>899</v>
      </c>
      <c r="K33" s="12" t="s">
        <v>900</v>
      </c>
      <c r="L33" s="25">
        <v>201</v>
      </c>
      <c r="M33" s="22" t="s">
        <v>987</v>
      </c>
      <c r="N33" s="11"/>
      <c r="O33" s="11"/>
      <c r="P33" s="24" t="s">
        <v>988</v>
      </c>
    </row>
    <row r="34" spans="6:16" x14ac:dyDescent="0.3">
      <c r="F34" s="689" t="s">
        <v>1268</v>
      </c>
      <c r="G34" s="691">
        <v>0</v>
      </c>
      <c r="H34" s="12" t="s">
        <v>894</v>
      </c>
      <c r="I34" s="12" t="s">
        <v>898</v>
      </c>
      <c r="J34" s="12" t="s">
        <v>899</v>
      </c>
      <c r="K34" s="12" t="s">
        <v>900</v>
      </c>
      <c r="L34" s="25">
        <v>201</v>
      </c>
      <c r="M34" s="22" t="s">
        <v>989</v>
      </c>
      <c r="N34" s="11"/>
      <c r="O34" s="11"/>
      <c r="P34" s="24" t="s">
        <v>990</v>
      </c>
    </row>
    <row r="35" spans="6:16" x14ac:dyDescent="0.3">
      <c r="F35" s="689" t="s">
        <v>1269</v>
      </c>
      <c r="G35" s="691">
        <v>1842.55</v>
      </c>
      <c r="H35" s="12" t="s">
        <v>937</v>
      </c>
      <c r="I35" s="12" t="s">
        <v>902</v>
      </c>
      <c r="J35" s="12" t="s">
        <v>899</v>
      </c>
      <c r="K35" s="12" t="s">
        <v>904</v>
      </c>
      <c r="L35" s="25">
        <v>201</v>
      </c>
      <c r="M35" s="22" t="s">
        <v>991</v>
      </c>
      <c r="N35" s="11"/>
      <c r="O35" s="11"/>
      <c r="P35" s="24" t="s">
        <v>992</v>
      </c>
    </row>
    <row r="36" spans="6:16" x14ac:dyDescent="0.3">
      <c r="F36" s="689" t="s">
        <v>1270</v>
      </c>
      <c r="G36" s="691">
        <v>0</v>
      </c>
      <c r="H36" s="12" t="s">
        <v>894</v>
      </c>
      <c r="I36" s="12" t="s">
        <v>898</v>
      </c>
      <c r="J36" s="12" t="s">
        <v>899</v>
      </c>
      <c r="K36" s="12" t="s">
        <v>904</v>
      </c>
      <c r="L36" s="25">
        <v>201</v>
      </c>
      <c r="M36" s="22" t="s">
        <v>994</v>
      </c>
      <c r="N36" s="11"/>
      <c r="O36" s="11"/>
      <c r="P36" s="24" t="s">
        <v>993</v>
      </c>
    </row>
    <row r="37" spans="6:16" x14ac:dyDescent="0.3">
      <c r="F37" s="689" t="s">
        <v>1271</v>
      </c>
      <c r="G37" s="691">
        <v>0</v>
      </c>
      <c r="H37" s="12" t="s">
        <v>894</v>
      </c>
      <c r="I37" s="12" t="s">
        <v>898</v>
      </c>
      <c r="J37" s="12" t="s">
        <v>899</v>
      </c>
      <c r="K37" s="12" t="s">
        <v>908</v>
      </c>
      <c r="L37" s="25">
        <v>201</v>
      </c>
      <c r="M37" s="22" t="s">
        <v>996</v>
      </c>
      <c r="N37" s="11"/>
      <c r="O37" s="11"/>
      <c r="P37" s="24" t="s">
        <v>995</v>
      </c>
    </row>
    <row r="38" spans="6:16" x14ac:dyDescent="0.3">
      <c r="F38" s="689" t="s">
        <v>1272</v>
      </c>
      <c r="G38" s="691">
        <v>0</v>
      </c>
      <c r="H38" s="12" t="s">
        <v>894</v>
      </c>
      <c r="I38" s="12" t="s">
        <v>898</v>
      </c>
      <c r="J38" s="12" t="s">
        <v>899</v>
      </c>
      <c r="K38" s="12" t="s">
        <v>908</v>
      </c>
      <c r="L38" s="25">
        <v>201</v>
      </c>
      <c r="M38" s="22" t="s">
        <v>998</v>
      </c>
      <c r="N38" s="11"/>
      <c r="O38" s="11"/>
      <c r="P38" s="24" t="s">
        <v>997</v>
      </c>
    </row>
    <row r="39" spans="6:16" x14ac:dyDescent="0.3">
      <c r="F39" s="689" t="s">
        <v>1273</v>
      </c>
      <c r="G39" s="691">
        <v>0</v>
      </c>
      <c r="H39" s="12" t="s">
        <v>894</v>
      </c>
      <c r="I39" s="12" t="s">
        <v>898</v>
      </c>
      <c r="J39" s="12" t="s">
        <v>899</v>
      </c>
      <c r="K39" s="12" t="s">
        <v>908</v>
      </c>
      <c r="L39" s="25">
        <v>201</v>
      </c>
      <c r="M39" s="22" t="s">
        <v>1000</v>
      </c>
      <c r="N39" s="11"/>
      <c r="O39" s="11"/>
      <c r="P39" s="24" t="s">
        <v>999</v>
      </c>
    </row>
    <row r="40" spans="6:16" x14ac:dyDescent="0.3">
      <c r="F40" s="689" t="s">
        <v>1274</v>
      </c>
      <c r="G40" s="691">
        <v>1200</v>
      </c>
      <c r="H40" s="12" t="s">
        <v>894</v>
      </c>
      <c r="I40" s="12" t="s">
        <v>898</v>
      </c>
      <c r="J40" s="12" t="s">
        <v>899</v>
      </c>
      <c r="K40" s="12" t="s">
        <v>916</v>
      </c>
      <c r="L40" s="25">
        <v>201</v>
      </c>
      <c r="M40" s="22" t="s">
        <v>1002</v>
      </c>
      <c r="N40" s="11"/>
      <c r="O40" s="11"/>
      <c r="P40" s="24" t="s">
        <v>1001</v>
      </c>
    </row>
    <row r="41" spans="6:16" x14ac:dyDescent="0.3">
      <c r="F41" s="689" t="s">
        <v>1275</v>
      </c>
      <c r="G41" s="692">
        <f>SUM(G25:G40)</f>
        <v>43236.66</v>
      </c>
      <c r="H41" s="12"/>
      <c r="I41" s="12"/>
      <c r="J41" s="12"/>
      <c r="K41" s="12"/>
      <c r="L41" s="12"/>
      <c r="M41" s="22" t="s">
        <v>1004</v>
      </c>
      <c r="N41" s="11"/>
      <c r="O41" s="11"/>
      <c r="P41" s="24" t="s">
        <v>1003</v>
      </c>
    </row>
    <row r="42" spans="6:16" x14ac:dyDescent="0.3">
      <c r="F42" s="689" t="s">
        <v>1276</v>
      </c>
      <c r="G42" s="690"/>
      <c r="H42" s="12"/>
      <c r="I42" s="12"/>
      <c r="J42" s="12"/>
      <c r="K42" s="12"/>
      <c r="L42" s="12"/>
      <c r="N42" s="11"/>
      <c r="O42" s="11"/>
    </row>
    <row r="43" spans="6:16" x14ac:dyDescent="0.3">
      <c r="F43" s="689" t="s">
        <v>1277</v>
      </c>
      <c r="G43" s="691">
        <v>0</v>
      </c>
      <c r="H43" s="12"/>
      <c r="I43" s="12"/>
      <c r="J43" s="12"/>
      <c r="K43" s="12"/>
      <c r="L43" s="12"/>
      <c r="M43" s="11"/>
      <c r="N43" s="11"/>
      <c r="O43" s="11"/>
    </row>
    <row r="44" spans="6:16" x14ac:dyDescent="0.3">
      <c r="F44" s="689" t="s">
        <v>1278</v>
      </c>
      <c r="G44" s="691">
        <v>0</v>
      </c>
      <c r="H44" s="12" t="s">
        <v>894</v>
      </c>
      <c r="I44" s="12" t="s">
        <v>898</v>
      </c>
      <c r="J44" s="12" t="s">
        <v>907</v>
      </c>
      <c r="K44" s="12" t="s">
        <v>896</v>
      </c>
      <c r="L44" s="25">
        <v>201</v>
      </c>
      <c r="M44" s="11"/>
      <c r="N44" s="11"/>
      <c r="O44" s="11"/>
    </row>
    <row r="45" spans="6:16" x14ac:dyDescent="0.3">
      <c r="F45" s="689" t="s">
        <v>1265</v>
      </c>
      <c r="G45" s="691">
        <v>0</v>
      </c>
      <c r="H45" s="12"/>
      <c r="I45" s="12"/>
      <c r="J45" s="12"/>
      <c r="K45" s="12"/>
      <c r="L45" s="12"/>
      <c r="M45" s="11"/>
      <c r="N45" s="11"/>
      <c r="O45" s="11"/>
      <c r="P45" s="11"/>
    </row>
    <row r="46" spans="6:16" x14ac:dyDescent="0.3">
      <c r="F46" s="689" t="s">
        <v>1266</v>
      </c>
      <c r="G46" s="691">
        <v>0</v>
      </c>
      <c r="H46" s="12"/>
      <c r="I46" s="12"/>
      <c r="J46" s="12"/>
      <c r="K46" s="12"/>
      <c r="L46" s="12"/>
      <c r="M46" s="11"/>
      <c r="N46" s="11"/>
      <c r="O46" s="11"/>
      <c r="P46" s="11"/>
    </row>
    <row r="47" spans="6:16" x14ac:dyDescent="0.3">
      <c r="F47" s="689" t="s">
        <v>1267</v>
      </c>
      <c r="G47" s="691">
        <v>0</v>
      </c>
      <c r="H47" s="12"/>
      <c r="I47" s="12"/>
      <c r="J47" s="12"/>
      <c r="K47" s="12"/>
      <c r="L47" s="12"/>
      <c r="M47" s="11"/>
      <c r="N47" s="11"/>
      <c r="O47" s="11"/>
      <c r="P47" s="11"/>
    </row>
    <row r="48" spans="6:16" x14ac:dyDescent="0.3">
      <c r="F48" s="689" t="s">
        <v>1270</v>
      </c>
      <c r="G48" s="691">
        <v>1300</v>
      </c>
      <c r="H48" s="12" t="s">
        <v>894</v>
      </c>
      <c r="I48" s="12" t="s">
        <v>902</v>
      </c>
      <c r="J48" s="12" t="s">
        <v>907</v>
      </c>
      <c r="K48" s="12" t="s">
        <v>904</v>
      </c>
      <c r="L48" s="25">
        <v>201</v>
      </c>
      <c r="M48" s="11"/>
      <c r="N48" s="11"/>
      <c r="O48" s="11"/>
      <c r="P48" s="11"/>
    </row>
    <row r="49" spans="6:16" x14ac:dyDescent="0.3">
      <c r="F49" s="689" t="s">
        <v>1279</v>
      </c>
      <c r="G49" s="691">
        <v>0</v>
      </c>
      <c r="H49" s="12" t="s">
        <v>894</v>
      </c>
      <c r="I49" s="12" t="s">
        <v>898</v>
      </c>
      <c r="J49" s="12" t="s">
        <v>907</v>
      </c>
      <c r="K49" s="12" t="s">
        <v>908</v>
      </c>
      <c r="L49" s="25">
        <v>201</v>
      </c>
      <c r="M49" s="11"/>
      <c r="N49" s="11"/>
      <c r="O49" s="11"/>
      <c r="P49" s="11"/>
    </row>
    <row r="50" spans="6:16" x14ac:dyDescent="0.3">
      <c r="F50" s="689" t="s">
        <v>1280</v>
      </c>
      <c r="G50" s="691">
        <v>0</v>
      </c>
      <c r="H50" s="12" t="s">
        <v>894</v>
      </c>
      <c r="I50" s="12" t="s">
        <v>898</v>
      </c>
      <c r="J50" s="12" t="s">
        <v>907</v>
      </c>
      <c r="K50" s="12" t="s">
        <v>908</v>
      </c>
      <c r="L50" s="25">
        <v>201</v>
      </c>
      <c r="M50" s="11"/>
      <c r="N50" s="11"/>
      <c r="O50" s="11"/>
      <c r="P50" s="11"/>
    </row>
    <row r="51" spans="6:16" x14ac:dyDescent="0.3">
      <c r="F51" s="689" t="s">
        <v>1281</v>
      </c>
      <c r="G51" s="692">
        <f>((((((((G42)+(G43))+(G44))+(G45))+(G46))+(G47))+(G48))+(G49))+(G50)</f>
        <v>1300</v>
      </c>
      <c r="H51" s="12"/>
      <c r="I51" s="12"/>
      <c r="J51" s="12"/>
      <c r="K51" s="12"/>
      <c r="L51" s="12"/>
      <c r="M51" s="11"/>
      <c r="N51" s="11"/>
      <c r="O51" s="11"/>
      <c r="P51" s="11"/>
    </row>
    <row r="52" spans="6:16" x14ac:dyDescent="0.3">
      <c r="F52" s="689" t="s">
        <v>1282</v>
      </c>
      <c r="G52" s="690"/>
      <c r="H52" s="12"/>
      <c r="I52" s="12"/>
      <c r="J52" s="12"/>
      <c r="K52" s="12"/>
      <c r="L52" s="12"/>
      <c r="M52" s="11"/>
      <c r="N52" s="11"/>
      <c r="O52" s="11"/>
      <c r="P52" s="11"/>
    </row>
    <row r="53" spans="6:16" x14ac:dyDescent="0.3">
      <c r="F53" s="689" t="s">
        <v>1262</v>
      </c>
      <c r="G53" s="691">
        <v>0</v>
      </c>
      <c r="H53" s="12" t="s">
        <v>894</v>
      </c>
      <c r="I53" s="12" t="s">
        <v>898</v>
      </c>
      <c r="J53" s="12" t="s">
        <v>911</v>
      </c>
      <c r="K53" s="12" t="s">
        <v>896</v>
      </c>
      <c r="L53" s="25">
        <v>201</v>
      </c>
      <c r="M53" s="11"/>
      <c r="N53" s="11"/>
      <c r="O53" s="11"/>
      <c r="P53" s="11"/>
    </row>
    <row r="54" spans="6:16" x14ac:dyDescent="0.3">
      <c r="F54" s="689" t="s">
        <v>1263</v>
      </c>
      <c r="G54" s="691">
        <v>0</v>
      </c>
      <c r="H54" s="12" t="s">
        <v>894</v>
      </c>
      <c r="I54" s="12" t="s">
        <v>898</v>
      </c>
      <c r="J54" s="12" t="s">
        <v>911</v>
      </c>
      <c r="K54" s="12" t="s">
        <v>896</v>
      </c>
      <c r="L54" s="25">
        <v>201</v>
      </c>
      <c r="M54" s="11"/>
      <c r="N54" s="11"/>
      <c r="O54" s="11"/>
      <c r="P54" s="11"/>
    </row>
    <row r="55" spans="6:16" x14ac:dyDescent="0.3">
      <c r="F55" s="689" t="s">
        <v>1283</v>
      </c>
      <c r="G55" s="691">
        <v>0</v>
      </c>
      <c r="H55" s="12" t="s">
        <v>894</v>
      </c>
      <c r="I55" s="12" t="s">
        <v>898</v>
      </c>
      <c r="J55" s="12" t="s">
        <v>911</v>
      </c>
      <c r="K55" s="12" t="s">
        <v>896</v>
      </c>
      <c r="L55" s="25">
        <v>201</v>
      </c>
      <c r="M55" s="11"/>
      <c r="N55" s="11"/>
      <c r="O55" s="11"/>
      <c r="P55" s="11"/>
    </row>
    <row r="56" spans="6:16" x14ac:dyDescent="0.3">
      <c r="F56" s="689" t="s">
        <v>1265</v>
      </c>
      <c r="G56" s="691">
        <v>0</v>
      </c>
      <c r="H56" s="12" t="s">
        <v>894</v>
      </c>
      <c r="I56" s="12" t="s">
        <v>898</v>
      </c>
      <c r="J56" s="12" t="s">
        <v>911</v>
      </c>
      <c r="K56" s="12" t="s">
        <v>900</v>
      </c>
      <c r="L56" s="25">
        <v>201</v>
      </c>
      <c r="M56" s="11"/>
      <c r="N56" s="11"/>
      <c r="O56" s="11"/>
      <c r="P56" s="11"/>
    </row>
    <row r="57" spans="6:16" x14ac:dyDescent="0.3">
      <c r="F57" s="689" t="s">
        <v>1266</v>
      </c>
      <c r="G57" s="691">
        <v>0</v>
      </c>
      <c r="H57" s="12" t="s">
        <v>894</v>
      </c>
      <c r="I57" s="12" t="s">
        <v>898</v>
      </c>
      <c r="J57" s="12" t="s">
        <v>911</v>
      </c>
      <c r="K57" s="12" t="s">
        <v>900</v>
      </c>
      <c r="L57" s="25">
        <v>201</v>
      </c>
      <c r="M57" s="11"/>
      <c r="N57" s="11"/>
      <c r="O57" s="11"/>
      <c r="P57" s="11"/>
    </row>
    <row r="58" spans="6:16" x14ac:dyDescent="0.3">
      <c r="F58" s="689" t="s">
        <v>1267</v>
      </c>
      <c r="G58" s="691">
        <v>0</v>
      </c>
      <c r="H58" s="12" t="s">
        <v>894</v>
      </c>
      <c r="I58" s="12" t="s">
        <v>898</v>
      </c>
      <c r="J58" s="12" t="s">
        <v>911</v>
      </c>
      <c r="K58" s="12" t="s">
        <v>900</v>
      </c>
      <c r="L58" s="25">
        <v>201</v>
      </c>
      <c r="M58" s="11"/>
      <c r="N58" s="11"/>
      <c r="O58" s="11"/>
      <c r="P58" s="11"/>
    </row>
    <row r="59" spans="6:16" x14ac:dyDescent="0.3">
      <c r="F59" s="689" t="s">
        <v>1270</v>
      </c>
      <c r="G59" s="691">
        <v>0</v>
      </c>
      <c r="H59" s="12" t="s">
        <v>894</v>
      </c>
      <c r="I59" s="12" t="s">
        <v>898</v>
      </c>
      <c r="J59" s="12" t="s">
        <v>911</v>
      </c>
      <c r="K59" s="12" t="s">
        <v>904</v>
      </c>
      <c r="L59" s="25">
        <v>201</v>
      </c>
      <c r="M59" s="11"/>
      <c r="N59" s="11"/>
      <c r="O59" s="11"/>
      <c r="P59" s="11"/>
    </row>
    <row r="60" spans="6:16" x14ac:dyDescent="0.3">
      <c r="F60" s="689" t="s">
        <v>1284</v>
      </c>
      <c r="G60" s="692">
        <f>(((((((G52)+(G53))+(G54))+(G55))+(G56))+(G57))+(G58))+(G59)</f>
        <v>0</v>
      </c>
      <c r="H60" s="12"/>
      <c r="I60" s="12"/>
      <c r="J60" s="12"/>
      <c r="K60" s="12"/>
      <c r="L60" s="12"/>
      <c r="M60" s="11"/>
      <c r="N60" s="11"/>
      <c r="O60" s="11"/>
      <c r="P60" s="11"/>
    </row>
    <row r="61" spans="6:16" x14ac:dyDescent="0.3">
      <c r="F61" s="689" t="s">
        <v>1285</v>
      </c>
      <c r="G61" s="691">
        <v>0</v>
      </c>
      <c r="H61" s="12" t="s">
        <v>894</v>
      </c>
      <c r="I61" s="12" t="s">
        <v>898</v>
      </c>
      <c r="J61" s="12" t="s">
        <v>927</v>
      </c>
      <c r="K61" s="12" t="s">
        <v>904</v>
      </c>
      <c r="L61" s="25">
        <v>201</v>
      </c>
      <c r="M61" s="11"/>
      <c r="N61" s="11"/>
      <c r="O61" s="11"/>
      <c r="P61" s="11"/>
    </row>
    <row r="62" spans="6:16" x14ac:dyDescent="0.3">
      <c r="F62" s="689" t="s">
        <v>1286</v>
      </c>
      <c r="G62" s="690"/>
      <c r="H62" s="12"/>
      <c r="I62" s="12"/>
      <c r="J62" s="12"/>
      <c r="K62" s="12"/>
      <c r="L62" s="12"/>
      <c r="M62" s="11"/>
      <c r="N62" s="11"/>
      <c r="O62" s="11"/>
      <c r="P62" s="11"/>
    </row>
    <row r="63" spans="6:16" x14ac:dyDescent="0.3">
      <c r="F63" s="689" t="s">
        <v>1277</v>
      </c>
      <c r="G63" s="691">
        <v>0</v>
      </c>
      <c r="H63" s="12" t="s">
        <v>894</v>
      </c>
      <c r="I63" s="12" t="s">
        <v>898</v>
      </c>
      <c r="J63" s="12" t="s">
        <v>927</v>
      </c>
      <c r="K63" s="12" t="s">
        <v>896</v>
      </c>
      <c r="L63" s="25">
        <v>201</v>
      </c>
      <c r="M63" s="11"/>
      <c r="N63" s="11"/>
      <c r="O63" s="11"/>
      <c r="P63" s="11"/>
    </row>
    <row r="64" spans="6:16" x14ac:dyDescent="0.3">
      <c r="F64" s="689" t="s">
        <v>1265</v>
      </c>
      <c r="G64" s="691">
        <v>0</v>
      </c>
      <c r="H64" s="12" t="s">
        <v>894</v>
      </c>
      <c r="I64" s="12" t="s">
        <v>898</v>
      </c>
      <c r="J64" s="12" t="s">
        <v>927</v>
      </c>
      <c r="K64" s="12" t="s">
        <v>900</v>
      </c>
      <c r="L64" s="25">
        <v>201</v>
      </c>
      <c r="M64" s="11"/>
      <c r="N64" s="11"/>
      <c r="O64" s="11"/>
      <c r="P64" s="11"/>
    </row>
    <row r="65" spans="6:16" x14ac:dyDescent="0.3">
      <c r="F65" s="689" t="s">
        <v>1266</v>
      </c>
      <c r="G65" s="691">
        <v>0</v>
      </c>
      <c r="H65" s="12" t="s">
        <v>894</v>
      </c>
      <c r="I65" s="12" t="s">
        <v>898</v>
      </c>
      <c r="J65" s="12" t="s">
        <v>927</v>
      </c>
      <c r="K65" s="12" t="s">
        <v>900</v>
      </c>
      <c r="L65" s="25">
        <v>201</v>
      </c>
      <c r="M65" s="11"/>
      <c r="N65" s="11"/>
      <c r="O65" s="11"/>
      <c r="P65" s="11"/>
    </row>
    <row r="66" spans="6:16" x14ac:dyDescent="0.3">
      <c r="F66" s="689" t="s">
        <v>1267</v>
      </c>
      <c r="G66" s="691">
        <v>0</v>
      </c>
      <c r="H66" s="12" t="s">
        <v>894</v>
      </c>
      <c r="I66" s="12" t="s">
        <v>898</v>
      </c>
      <c r="J66" s="12" t="s">
        <v>927</v>
      </c>
      <c r="K66" s="12" t="s">
        <v>900</v>
      </c>
      <c r="L66" s="25">
        <v>201</v>
      </c>
      <c r="M66" s="11"/>
      <c r="N66" s="11"/>
      <c r="O66" s="11"/>
      <c r="P66" s="11"/>
    </row>
    <row r="67" spans="6:16" x14ac:dyDescent="0.3">
      <c r="F67" s="689" t="s">
        <v>1270</v>
      </c>
      <c r="G67" s="691">
        <f>4700-G68</f>
        <v>3445.02</v>
      </c>
      <c r="H67" s="12" t="s">
        <v>894</v>
      </c>
      <c r="I67" s="12" t="s">
        <v>898</v>
      </c>
      <c r="J67" s="12" t="s">
        <v>927</v>
      </c>
      <c r="K67" s="12" t="s">
        <v>904</v>
      </c>
      <c r="L67" s="25">
        <v>201</v>
      </c>
      <c r="M67" s="11"/>
      <c r="N67" s="11"/>
      <c r="O67" s="11"/>
      <c r="P67" s="11"/>
    </row>
    <row r="68" spans="6:16" x14ac:dyDescent="0.3">
      <c r="F68" s="689" t="s">
        <v>1270</v>
      </c>
      <c r="G68" s="691">
        <v>1254.98</v>
      </c>
      <c r="H68" s="12" t="s">
        <v>897</v>
      </c>
      <c r="I68" s="12" t="s">
        <v>898</v>
      </c>
      <c r="J68" s="12" t="s">
        <v>927</v>
      </c>
      <c r="K68" s="12" t="s">
        <v>904</v>
      </c>
      <c r="L68" s="25">
        <v>201</v>
      </c>
      <c r="M68" s="11"/>
      <c r="N68" s="11"/>
      <c r="O68" s="11"/>
      <c r="P68" s="11"/>
    </row>
    <row r="69" spans="6:16" x14ac:dyDescent="0.3">
      <c r="F69" s="689" t="s">
        <v>1287</v>
      </c>
      <c r="G69" s="691">
        <f>1849.8-G70</f>
        <v>729.24</v>
      </c>
      <c r="H69" s="12" t="s">
        <v>975</v>
      </c>
      <c r="I69" s="12" t="s">
        <v>898</v>
      </c>
      <c r="J69" s="12" t="s">
        <v>927</v>
      </c>
      <c r="K69" s="12" t="s">
        <v>904</v>
      </c>
      <c r="L69" s="25">
        <v>201</v>
      </c>
      <c r="M69" s="11"/>
      <c r="N69" s="11"/>
      <c r="O69" s="11"/>
      <c r="P69" s="11"/>
    </row>
    <row r="70" spans="6:16" x14ac:dyDescent="0.3">
      <c r="F70" s="689" t="s">
        <v>1287</v>
      </c>
      <c r="G70" s="691">
        <v>1120.56</v>
      </c>
      <c r="H70" s="12" t="s">
        <v>975</v>
      </c>
      <c r="I70" s="12" t="s">
        <v>898</v>
      </c>
      <c r="J70" s="12" t="s">
        <v>927</v>
      </c>
      <c r="K70" s="12" t="s">
        <v>904</v>
      </c>
      <c r="L70" s="25">
        <v>201</v>
      </c>
      <c r="M70" s="11"/>
      <c r="N70" s="11"/>
      <c r="O70" s="11"/>
      <c r="P70" s="11"/>
    </row>
    <row r="71" spans="6:16" x14ac:dyDescent="0.3">
      <c r="F71" s="689" t="s">
        <v>1288</v>
      </c>
      <c r="G71" s="691">
        <v>0</v>
      </c>
      <c r="H71" s="12" t="s">
        <v>894</v>
      </c>
      <c r="I71" s="12" t="s">
        <v>898</v>
      </c>
      <c r="J71" s="12" t="s">
        <v>927</v>
      </c>
      <c r="K71" s="12" t="s">
        <v>904</v>
      </c>
      <c r="L71" s="25">
        <v>201</v>
      </c>
      <c r="M71" s="11"/>
      <c r="N71" s="11"/>
      <c r="O71" s="11"/>
      <c r="P71" s="11"/>
    </row>
    <row r="72" spans="6:16" x14ac:dyDescent="0.3">
      <c r="F72" s="689" t="s">
        <v>1289</v>
      </c>
      <c r="G72" s="691">
        <v>0</v>
      </c>
      <c r="H72" s="12" t="s">
        <v>894</v>
      </c>
      <c r="I72" s="12" t="s">
        <v>898</v>
      </c>
      <c r="J72" s="12" t="s">
        <v>927</v>
      </c>
      <c r="K72" s="12" t="s">
        <v>904</v>
      </c>
      <c r="L72" s="25">
        <v>201</v>
      </c>
      <c r="M72" s="11"/>
      <c r="N72" s="11"/>
      <c r="O72" s="11"/>
      <c r="P72" s="11"/>
    </row>
    <row r="73" spans="6:16" x14ac:dyDescent="0.3">
      <c r="F73" s="689" t="s">
        <v>1279</v>
      </c>
      <c r="G73" s="691">
        <v>54.47</v>
      </c>
      <c r="H73" s="12" t="s">
        <v>894</v>
      </c>
      <c r="I73" s="12" t="s">
        <v>898</v>
      </c>
      <c r="J73" s="12" t="s">
        <v>899</v>
      </c>
      <c r="K73" s="12" t="s">
        <v>908</v>
      </c>
      <c r="L73" s="25">
        <v>201</v>
      </c>
      <c r="M73" s="11"/>
      <c r="N73" s="11"/>
      <c r="O73" s="11"/>
      <c r="P73" s="11"/>
    </row>
    <row r="74" spans="6:16" x14ac:dyDescent="0.3">
      <c r="F74" s="689" t="s">
        <v>1290</v>
      </c>
      <c r="G74" s="691">
        <v>0</v>
      </c>
      <c r="H74" s="12" t="s">
        <v>894</v>
      </c>
      <c r="I74" s="12" t="s">
        <v>898</v>
      </c>
      <c r="J74" s="12" t="s">
        <v>927</v>
      </c>
      <c r="K74" s="12" t="s">
        <v>908</v>
      </c>
      <c r="L74" s="25">
        <v>201</v>
      </c>
      <c r="M74" s="11"/>
      <c r="N74" s="11"/>
      <c r="O74" s="11"/>
      <c r="P74" s="11"/>
    </row>
    <row r="75" spans="6:16" x14ac:dyDescent="0.3">
      <c r="F75" s="689" t="s">
        <v>1291</v>
      </c>
      <c r="G75" s="691">
        <v>50.51</v>
      </c>
      <c r="H75" s="12" t="s">
        <v>894</v>
      </c>
      <c r="I75" s="12" t="s">
        <v>898</v>
      </c>
      <c r="J75" s="12" t="s">
        <v>927</v>
      </c>
      <c r="K75" s="12" t="s">
        <v>908</v>
      </c>
      <c r="L75" s="25">
        <v>201</v>
      </c>
      <c r="M75" s="11"/>
      <c r="N75" s="11"/>
      <c r="O75" s="11"/>
      <c r="P75" s="11"/>
    </row>
    <row r="76" spans="6:16" x14ac:dyDescent="0.3">
      <c r="F76" s="689" t="s">
        <v>1292</v>
      </c>
      <c r="G76" s="692">
        <f>(((((((((((G62)+(G63))+(G64))+(G65))+(G66))+(G67))+(G69))+(G71))+(G72))+(G73))+(G74))+(G75)</f>
        <v>4279.24</v>
      </c>
      <c r="H76" s="12"/>
      <c r="I76" s="12"/>
      <c r="J76" s="12"/>
      <c r="K76" s="12"/>
      <c r="L76" s="12"/>
      <c r="M76" s="11"/>
      <c r="N76" s="11"/>
      <c r="O76" s="11"/>
      <c r="P76" s="11"/>
    </row>
    <row r="77" spans="6:16" x14ac:dyDescent="0.3">
      <c r="F77" s="689" t="s">
        <v>1293</v>
      </c>
      <c r="G77" s="690"/>
      <c r="H77" s="12"/>
      <c r="I77" s="12"/>
      <c r="J77" s="12"/>
      <c r="K77" s="12"/>
      <c r="L77" s="12"/>
      <c r="M77" s="11"/>
      <c r="N77" s="11"/>
      <c r="O77" s="11"/>
      <c r="P77" s="11"/>
    </row>
    <row r="78" spans="6:16" x14ac:dyDescent="0.3">
      <c r="F78" s="689" t="s">
        <v>1270</v>
      </c>
      <c r="G78" s="691">
        <v>0</v>
      </c>
      <c r="H78" s="12" t="s">
        <v>894</v>
      </c>
      <c r="I78" s="12" t="s">
        <v>898</v>
      </c>
      <c r="J78" s="12" t="s">
        <v>931</v>
      </c>
      <c r="K78" s="12" t="s">
        <v>904</v>
      </c>
      <c r="L78" s="25">
        <v>201</v>
      </c>
      <c r="M78" s="11"/>
      <c r="N78" s="11"/>
      <c r="O78" s="11"/>
      <c r="P78" s="11"/>
    </row>
    <row r="79" spans="6:16" x14ac:dyDescent="0.3">
      <c r="F79" s="689" t="s">
        <v>1294</v>
      </c>
      <c r="G79" s="691">
        <v>0</v>
      </c>
      <c r="H79" s="12" t="s">
        <v>894</v>
      </c>
      <c r="I79" s="12" t="s">
        <v>898</v>
      </c>
      <c r="J79" s="12" t="s">
        <v>931</v>
      </c>
      <c r="K79" s="12" t="s">
        <v>904</v>
      </c>
      <c r="L79" s="25">
        <v>201</v>
      </c>
      <c r="M79" s="11"/>
      <c r="N79" s="11"/>
      <c r="O79" s="11"/>
      <c r="P79" s="11"/>
    </row>
    <row r="80" spans="6:16" x14ac:dyDescent="0.3">
      <c r="F80" s="689" t="s">
        <v>1295</v>
      </c>
      <c r="G80" s="691">
        <v>0</v>
      </c>
      <c r="H80" s="12" t="s">
        <v>894</v>
      </c>
      <c r="I80" s="12" t="s">
        <v>898</v>
      </c>
      <c r="J80" s="12" t="s">
        <v>931</v>
      </c>
      <c r="K80" s="12" t="s">
        <v>904</v>
      </c>
      <c r="L80" s="25">
        <v>201</v>
      </c>
      <c r="M80" s="11"/>
      <c r="N80" s="11"/>
      <c r="O80" s="11"/>
      <c r="P80" s="11"/>
    </row>
    <row r="81" spans="6:16" x14ac:dyDescent="0.3">
      <c r="F81" s="689" t="s">
        <v>1296</v>
      </c>
      <c r="G81" s="691">
        <v>0</v>
      </c>
      <c r="H81" s="12" t="s">
        <v>894</v>
      </c>
      <c r="I81" s="12" t="s">
        <v>898</v>
      </c>
      <c r="J81" s="12" t="s">
        <v>931</v>
      </c>
      <c r="K81" s="12" t="s">
        <v>904</v>
      </c>
      <c r="L81" s="25">
        <v>201</v>
      </c>
      <c r="M81" s="11"/>
      <c r="N81" s="11"/>
      <c r="O81" s="11"/>
      <c r="P81" s="11"/>
    </row>
    <row r="82" spans="6:16" x14ac:dyDescent="0.3">
      <c r="F82" s="689" t="s">
        <v>1289</v>
      </c>
      <c r="G82" s="691">
        <v>0</v>
      </c>
      <c r="H82" s="12" t="s">
        <v>894</v>
      </c>
      <c r="I82" s="12" t="s">
        <v>898</v>
      </c>
      <c r="J82" s="12" t="s">
        <v>931</v>
      </c>
      <c r="K82" s="12" t="s">
        <v>904</v>
      </c>
      <c r="L82" s="25">
        <v>201</v>
      </c>
      <c r="M82" s="11"/>
      <c r="N82" s="11"/>
      <c r="O82" s="11"/>
      <c r="P82" s="11"/>
    </row>
    <row r="83" spans="6:16" x14ac:dyDescent="0.3">
      <c r="F83" s="689" t="s">
        <v>1274</v>
      </c>
      <c r="G83" s="691">
        <v>0</v>
      </c>
      <c r="H83" s="12" t="s">
        <v>894</v>
      </c>
      <c r="I83" s="12" t="s">
        <v>898</v>
      </c>
      <c r="J83" s="12" t="s">
        <v>931</v>
      </c>
      <c r="K83" s="12" t="s">
        <v>916</v>
      </c>
      <c r="L83" s="25">
        <v>201</v>
      </c>
      <c r="M83" s="11"/>
      <c r="N83" s="11"/>
      <c r="O83" s="11"/>
      <c r="P83" s="11"/>
    </row>
    <row r="84" spans="6:16" x14ac:dyDescent="0.3">
      <c r="F84" s="689" t="s">
        <v>1297</v>
      </c>
      <c r="G84" s="691">
        <v>0</v>
      </c>
      <c r="H84" s="12" t="s">
        <v>894</v>
      </c>
      <c r="I84" s="12" t="s">
        <v>898</v>
      </c>
      <c r="J84" s="12" t="s">
        <v>931</v>
      </c>
      <c r="K84" s="12" t="s">
        <v>928</v>
      </c>
      <c r="L84" s="25">
        <v>201</v>
      </c>
      <c r="M84" s="11"/>
      <c r="N84" s="11"/>
      <c r="O84" s="11"/>
      <c r="P84" s="11"/>
    </row>
    <row r="85" spans="6:16" x14ac:dyDescent="0.3">
      <c r="F85" s="689" t="s">
        <v>1298</v>
      </c>
      <c r="G85" s="691">
        <v>0</v>
      </c>
      <c r="H85" s="12" t="s">
        <v>894</v>
      </c>
      <c r="I85" s="12" t="s">
        <v>898</v>
      </c>
      <c r="J85" s="12" t="s">
        <v>931</v>
      </c>
      <c r="K85" s="12" t="s">
        <v>936</v>
      </c>
      <c r="L85" s="25">
        <v>201</v>
      </c>
      <c r="M85" s="11"/>
      <c r="N85" s="11"/>
      <c r="O85" s="11"/>
      <c r="P85" s="11"/>
    </row>
    <row r="86" spans="6:16" x14ac:dyDescent="0.3">
      <c r="F86" s="689" t="s">
        <v>1299</v>
      </c>
      <c r="G86" s="692">
        <f>((((((((G77)+(G78))+(G79))+(G80))+(G81))+(G82))+(G83))+(G84))+(G85)</f>
        <v>0</v>
      </c>
      <c r="H86" s="12"/>
      <c r="I86" s="12"/>
      <c r="J86" s="12"/>
      <c r="K86" s="12"/>
      <c r="L86" s="12"/>
      <c r="M86" s="11"/>
      <c r="N86" s="11"/>
      <c r="O86" s="11"/>
      <c r="P86" s="11"/>
    </row>
    <row r="87" spans="6:16" x14ac:dyDescent="0.3">
      <c r="F87" s="689" t="s">
        <v>1300</v>
      </c>
      <c r="G87" s="690"/>
      <c r="H87" s="12"/>
      <c r="I87" s="12"/>
      <c r="J87" s="12"/>
      <c r="K87" s="12"/>
      <c r="L87" s="12"/>
      <c r="M87" s="11"/>
      <c r="N87" s="11"/>
      <c r="O87" s="11"/>
      <c r="P87" s="11"/>
    </row>
    <row r="88" spans="6:16" x14ac:dyDescent="0.3">
      <c r="F88" s="689" t="s">
        <v>1301</v>
      </c>
      <c r="G88" s="691">
        <v>0</v>
      </c>
      <c r="H88" s="12" t="s">
        <v>894</v>
      </c>
      <c r="I88" s="12" t="s">
        <v>898</v>
      </c>
      <c r="J88" s="12" t="s">
        <v>935</v>
      </c>
      <c r="K88" s="12" t="s">
        <v>896</v>
      </c>
      <c r="L88" s="25">
        <v>201</v>
      </c>
      <c r="M88" s="11"/>
      <c r="N88" s="11"/>
      <c r="O88" s="11"/>
      <c r="P88" s="11"/>
    </row>
    <row r="89" spans="6:16" x14ac:dyDescent="0.3">
      <c r="F89" s="689" t="s">
        <v>1265</v>
      </c>
      <c r="G89" s="691">
        <v>0</v>
      </c>
      <c r="H89" s="12" t="s">
        <v>894</v>
      </c>
      <c r="I89" s="12" t="s">
        <v>898</v>
      </c>
      <c r="J89" s="12" t="s">
        <v>935</v>
      </c>
      <c r="K89" s="12" t="s">
        <v>900</v>
      </c>
      <c r="L89" s="25">
        <v>201</v>
      </c>
      <c r="M89" s="11"/>
      <c r="N89" s="11"/>
      <c r="O89" s="11"/>
      <c r="P89" s="11"/>
    </row>
    <row r="90" spans="6:16" x14ac:dyDescent="0.3">
      <c r="F90" s="689" t="s">
        <v>1302</v>
      </c>
      <c r="G90" s="691">
        <v>2947.55</v>
      </c>
      <c r="H90" s="12" t="s">
        <v>894</v>
      </c>
      <c r="I90" s="12" t="s">
        <v>898</v>
      </c>
      <c r="J90" s="12" t="s">
        <v>935</v>
      </c>
      <c r="K90" s="12" t="s">
        <v>904</v>
      </c>
      <c r="L90" s="25">
        <v>201</v>
      </c>
      <c r="M90" s="11"/>
      <c r="N90" s="11"/>
      <c r="O90" s="11"/>
      <c r="P90" s="11"/>
    </row>
    <row r="91" spans="6:16" x14ac:dyDescent="0.3">
      <c r="F91" s="689" t="s">
        <v>1303</v>
      </c>
      <c r="G91" s="691">
        <v>0</v>
      </c>
      <c r="H91" s="12" t="s">
        <v>894</v>
      </c>
      <c r="I91" s="12" t="s">
        <v>898</v>
      </c>
      <c r="J91" s="12" t="s">
        <v>935</v>
      </c>
      <c r="K91" s="12" t="s">
        <v>904</v>
      </c>
      <c r="L91" s="25">
        <v>201</v>
      </c>
      <c r="M91" s="11"/>
      <c r="N91" s="11"/>
      <c r="O91" s="11"/>
      <c r="P91" s="11"/>
    </row>
    <row r="92" spans="6:16" x14ac:dyDescent="0.3">
      <c r="F92" s="689" t="s">
        <v>1304</v>
      </c>
      <c r="G92" s="691">
        <v>1090.67</v>
      </c>
      <c r="H92" s="12" t="s">
        <v>894</v>
      </c>
      <c r="I92" s="12" t="s">
        <v>898</v>
      </c>
      <c r="J92" s="12" t="s">
        <v>935</v>
      </c>
      <c r="K92" s="12" t="s">
        <v>904</v>
      </c>
      <c r="L92" s="25">
        <v>201</v>
      </c>
      <c r="M92" s="11"/>
      <c r="N92" s="11"/>
      <c r="O92" s="11"/>
      <c r="P92" s="11"/>
    </row>
    <row r="93" spans="6:16" x14ac:dyDescent="0.3">
      <c r="F93" s="689" t="s">
        <v>1305</v>
      </c>
      <c r="G93" s="691">
        <v>200</v>
      </c>
      <c r="H93" s="12" t="s">
        <v>894</v>
      </c>
      <c r="I93" s="12" t="s">
        <v>898</v>
      </c>
      <c r="J93" s="12" t="s">
        <v>935</v>
      </c>
      <c r="K93" s="12" t="s">
        <v>904</v>
      </c>
      <c r="L93" s="25">
        <v>201</v>
      </c>
      <c r="M93" s="11"/>
      <c r="N93" s="11"/>
      <c r="O93" s="11"/>
      <c r="P93" s="11"/>
    </row>
    <row r="94" spans="6:16" x14ac:dyDescent="0.3">
      <c r="F94" s="689" t="s">
        <v>1306</v>
      </c>
      <c r="G94" s="691">
        <v>460</v>
      </c>
      <c r="H94" s="12" t="s">
        <v>894</v>
      </c>
      <c r="I94" s="12" t="s">
        <v>898</v>
      </c>
      <c r="J94" s="12" t="s">
        <v>935</v>
      </c>
      <c r="K94" s="12" t="s">
        <v>904</v>
      </c>
      <c r="L94" s="25">
        <v>201</v>
      </c>
      <c r="M94" s="11"/>
      <c r="N94" s="11"/>
      <c r="O94" s="11"/>
      <c r="P94" s="11"/>
    </row>
    <row r="95" spans="6:16" x14ac:dyDescent="0.3">
      <c r="F95" s="689" t="s">
        <v>1307</v>
      </c>
      <c r="G95" s="691">
        <v>0</v>
      </c>
      <c r="H95" s="12" t="s">
        <v>894</v>
      </c>
      <c r="I95" s="12" t="s">
        <v>898</v>
      </c>
      <c r="J95" s="12" t="s">
        <v>935</v>
      </c>
      <c r="K95" s="12" t="s">
        <v>904</v>
      </c>
      <c r="L95" s="25">
        <v>201</v>
      </c>
      <c r="M95" s="11"/>
      <c r="N95" s="11"/>
      <c r="O95" s="11"/>
      <c r="P95" s="11"/>
    </row>
    <row r="96" spans="6:16" x14ac:dyDescent="0.3">
      <c r="F96" s="689" t="s">
        <v>1287</v>
      </c>
      <c r="G96" s="691">
        <v>0</v>
      </c>
      <c r="H96" s="12" t="s">
        <v>894</v>
      </c>
      <c r="I96" s="12" t="s">
        <v>898</v>
      </c>
      <c r="J96" s="12" t="s">
        <v>935</v>
      </c>
      <c r="K96" s="12" t="s">
        <v>904</v>
      </c>
      <c r="L96" s="25">
        <v>201</v>
      </c>
      <c r="M96" s="11"/>
      <c r="N96" s="11"/>
      <c r="O96" s="11"/>
      <c r="P96" s="11"/>
    </row>
    <row r="97" spans="6:16" x14ac:dyDescent="0.3">
      <c r="F97" s="689" t="s">
        <v>1308</v>
      </c>
      <c r="G97" s="691">
        <v>0</v>
      </c>
      <c r="H97" s="12" t="s">
        <v>894</v>
      </c>
      <c r="I97" s="12" t="s">
        <v>898</v>
      </c>
      <c r="J97" s="12" t="s">
        <v>935</v>
      </c>
      <c r="K97" s="12" t="s">
        <v>908</v>
      </c>
      <c r="L97" s="25">
        <v>201</v>
      </c>
      <c r="M97" s="11"/>
      <c r="N97" s="11"/>
      <c r="O97" s="11"/>
      <c r="P97" s="11"/>
    </row>
    <row r="98" spans="6:16" x14ac:dyDescent="0.3">
      <c r="F98" s="689" t="s">
        <v>1309</v>
      </c>
      <c r="G98" s="691">
        <v>0</v>
      </c>
      <c r="H98" s="12" t="s">
        <v>894</v>
      </c>
      <c r="I98" s="12" t="s">
        <v>898</v>
      </c>
      <c r="J98" s="12" t="s">
        <v>935</v>
      </c>
      <c r="K98" s="12" t="s">
        <v>908</v>
      </c>
      <c r="L98" s="25">
        <v>201</v>
      </c>
      <c r="M98" s="11"/>
      <c r="N98" s="11"/>
      <c r="O98" s="11"/>
      <c r="P98" s="11"/>
    </row>
    <row r="99" spans="6:16" x14ac:dyDescent="0.3">
      <c r="F99" s="689" t="s">
        <v>1310</v>
      </c>
      <c r="G99" s="691">
        <v>0</v>
      </c>
      <c r="H99" s="12" t="s">
        <v>894</v>
      </c>
      <c r="I99" s="12" t="s">
        <v>898</v>
      </c>
      <c r="J99" s="12" t="s">
        <v>935</v>
      </c>
      <c r="K99" s="12" t="s">
        <v>908</v>
      </c>
      <c r="L99" s="25">
        <v>201</v>
      </c>
      <c r="M99" s="11"/>
      <c r="N99" s="11"/>
      <c r="O99" s="11"/>
      <c r="P99" s="11"/>
    </row>
    <row r="100" spans="6:16" x14ac:dyDescent="0.3">
      <c r="F100" s="689" t="s">
        <v>1311</v>
      </c>
      <c r="G100" s="691">
        <v>5742.5</v>
      </c>
      <c r="H100" s="12" t="s">
        <v>894</v>
      </c>
      <c r="I100" s="12" t="s">
        <v>898</v>
      </c>
      <c r="J100" s="12" t="s">
        <v>935</v>
      </c>
      <c r="K100" s="12" t="s">
        <v>908</v>
      </c>
      <c r="L100" s="25">
        <v>201</v>
      </c>
      <c r="M100" s="11"/>
      <c r="N100" s="11"/>
      <c r="O100" s="11"/>
      <c r="P100" s="11"/>
    </row>
    <row r="101" spans="6:16" x14ac:dyDescent="0.3">
      <c r="F101" s="689" t="s">
        <v>1312</v>
      </c>
      <c r="G101" s="692">
        <f>(((((((((((((G87)+(G88))+(G89))+(G90))+(G91))+(G92))+(G93))+(G94))+(G95))+(G96))+(G97))+(G98))+(G99))+(G100)</f>
        <v>10440.719999999999</v>
      </c>
      <c r="H101" s="12"/>
      <c r="I101" s="12"/>
      <c r="J101" s="12"/>
      <c r="K101" s="12"/>
      <c r="L101" s="12"/>
      <c r="M101" s="11"/>
      <c r="N101" s="11"/>
      <c r="O101" s="11"/>
      <c r="P101" s="11"/>
    </row>
    <row r="102" spans="6:16" x14ac:dyDescent="0.3">
      <c r="F102" s="689" t="s">
        <v>1313</v>
      </c>
      <c r="G102" s="690"/>
      <c r="H102" s="12"/>
      <c r="I102" s="12"/>
      <c r="J102" s="12"/>
      <c r="K102" s="12"/>
      <c r="L102" s="12"/>
      <c r="M102" s="11"/>
      <c r="N102" s="11"/>
      <c r="O102" s="11"/>
      <c r="P102" s="11"/>
    </row>
    <row r="103" spans="6:16" x14ac:dyDescent="0.3">
      <c r="F103" s="689" t="s">
        <v>1314</v>
      </c>
      <c r="G103" s="691">
        <v>262.39999999999998</v>
      </c>
      <c r="H103" s="12" t="s">
        <v>894</v>
      </c>
      <c r="I103" s="12" t="s">
        <v>918</v>
      </c>
      <c r="J103" s="12" t="s">
        <v>939</v>
      </c>
      <c r="K103" s="12" t="s">
        <v>904</v>
      </c>
      <c r="L103" s="25">
        <v>201</v>
      </c>
      <c r="M103" s="11"/>
      <c r="N103" s="11"/>
      <c r="O103" s="11"/>
      <c r="P103" s="11"/>
    </row>
    <row r="104" spans="6:16" x14ac:dyDescent="0.3">
      <c r="F104" s="689" t="s">
        <v>1315</v>
      </c>
      <c r="G104" s="691">
        <v>0</v>
      </c>
      <c r="H104" s="12" t="s">
        <v>894</v>
      </c>
      <c r="I104" s="12" t="s">
        <v>918</v>
      </c>
      <c r="J104" s="12" t="s">
        <v>939</v>
      </c>
      <c r="K104" s="12" t="s">
        <v>904</v>
      </c>
      <c r="L104" s="25">
        <v>201</v>
      </c>
      <c r="M104" s="11"/>
      <c r="N104" s="11"/>
      <c r="O104" s="11"/>
      <c r="P104" s="11"/>
    </row>
    <row r="105" spans="6:16" x14ac:dyDescent="0.3">
      <c r="F105" s="689" t="s">
        <v>1316</v>
      </c>
      <c r="G105" s="692">
        <f>((G102)+(G103))+(G104)</f>
        <v>262.39999999999998</v>
      </c>
      <c r="H105" s="12"/>
      <c r="I105" s="12"/>
      <c r="J105" s="12"/>
      <c r="K105" s="12"/>
      <c r="L105" s="12"/>
      <c r="M105" s="11"/>
      <c r="N105" s="11"/>
      <c r="O105" s="11"/>
      <c r="P105" s="11"/>
    </row>
    <row r="106" spans="6:16" x14ac:dyDescent="0.3">
      <c r="F106" s="689" t="s">
        <v>1317</v>
      </c>
      <c r="G106" s="690"/>
      <c r="H106" s="12"/>
      <c r="I106" s="12"/>
      <c r="J106" s="12"/>
      <c r="K106" s="12"/>
      <c r="L106" s="12"/>
      <c r="M106" s="11"/>
      <c r="N106" s="11"/>
      <c r="O106" s="11"/>
      <c r="P106" s="11"/>
    </row>
    <row r="107" spans="6:16" x14ac:dyDescent="0.3">
      <c r="F107" s="689" t="s">
        <v>1318</v>
      </c>
      <c r="G107" s="691">
        <v>0</v>
      </c>
      <c r="H107" s="12" t="s">
        <v>894</v>
      </c>
      <c r="I107" s="12" t="s">
        <v>898</v>
      </c>
      <c r="J107" s="12" t="s">
        <v>959</v>
      </c>
      <c r="K107" s="12" t="s">
        <v>904</v>
      </c>
      <c r="L107" s="25">
        <v>201</v>
      </c>
      <c r="M107" s="11"/>
      <c r="N107" s="11"/>
      <c r="O107" s="11"/>
      <c r="P107" s="11"/>
    </row>
    <row r="108" spans="6:16" x14ac:dyDescent="0.3">
      <c r="F108" s="689" t="s">
        <v>1319</v>
      </c>
      <c r="G108" s="691">
        <v>0</v>
      </c>
      <c r="H108" s="12" t="s">
        <v>894</v>
      </c>
      <c r="I108" s="12" t="s">
        <v>898</v>
      </c>
      <c r="J108" s="12" t="s">
        <v>959</v>
      </c>
      <c r="K108" s="12" t="s">
        <v>908</v>
      </c>
      <c r="L108" s="25">
        <v>201</v>
      </c>
      <c r="M108" s="11"/>
      <c r="N108" s="11"/>
      <c r="O108" s="11"/>
      <c r="P108" s="11"/>
    </row>
    <row r="109" spans="6:16" x14ac:dyDescent="0.3">
      <c r="F109" s="689" t="s">
        <v>1320</v>
      </c>
      <c r="G109" s="692">
        <f>((G106)+(G107))+(G108)</f>
        <v>0</v>
      </c>
      <c r="H109" s="12"/>
      <c r="I109" s="12"/>
      <c r="J109" s="12"/>
      <c r="K109" s="12"/>
      <c r="L109" s="12"/>
      <c r="M109" s="11"/>
      <c r="N109" s="11"/>
      <c r="O109" s="11"/>
      <c r="P109" s="11"/>
    </row>
    <row r="110" spans="6:16" x14ac:dyDescent="0.3">
      <c r="F110" s="689" t="s">
        <v>1321</v>
      </c>
      <c r="G110" s="691">
        <v>0</v>
      </c>
      <c r="H110" s="12"/>
      <c r="I110" s="12"/>
      <c r="J110" s="12"/>
      <c r="K110" s="12"/>
      <c r="L110" s="12"/>
      <c r="M110" s="11"/>
      <c r="N110" s="11"/>
      <c r="O110" s="11"/>
      <c r="P110" s="11"/>
    </row>
    <row r="111" spans="6:16" x14ac:dyDescent="0.3">
      <c r="F111" s="689" t="s">
        <v>1322</v>
      </c>
      <c r="G111" s="692">
        <f>(((((((((G41)+(G51))+(G60))+(G61))+(G76))+(G86))+(G101))+(G105))+(G109))+(G110)</f>
        <v>59519.02</v>
      </c>
      <c r="H111" s="12"/>
      <c r="I111" s="12"/>
      <c r="J111" s="12"/>
      <c r="K111" s="12"/>
      <c r="L111" s="12"/>
      <c r="M111" s="11"/>
      <c r="N111" s="11"/>
      <c r="O111" s="11"/>
      <c r="P111" s="11"/>
    </row>
    <row r="112" spans="6:16" x14ac:dyDescent="0.3">
      <c r="F112" s="689" t="s">
        <v>1323</v>
      </c>
      <c r="G112" s="692">
        <f>(-G22)-(G111)</f>
        <v>147519.88</v>
      </c>
      <c r="H112" s="12"/>
      <c r="I112" s="12"/>
      <c r="J112" s="12"/>
      <c r="K112" s="12"/>
      <c r="L112" s="12"/>
      <c r="M112" s="11"/>
      <c r="N112" s="11"/>
      <c r="O112" s="11"/>
      <c r="P112" s="11"/>
    </row>
    <row r="113" spans="6:12" x14ac:dyDescent="0.3">
      <c r="F113" s="689" t="s">
        <v>1324</v>
      </c>
      <c r="G113" s="692">
        <f>(G112)+(0)</f>
        <v>147519.88</v>
      </c>
      <c r="H113" s="12"/>
      <c r="I113" s="12"/>
      <c r="J113" s="12"/>
      <c r="K113" s="12"/>
      <c r="L113" s="12"/>
    </row>
  </sheetData>
  <autoFilter ref="A1:L4343" xr:uid="{00000000-0009-0000-0000-000010000000}"/>
  <conditionalFormatting sqref="E2:E65539">
    <cfRule type="expression" dxfId="9" priority="13" stopIfTrue="1">
      <formula>AND($E2&lt;&gt;#REF!,$E2&gt;0)</formula>
    </cfRule>
  </conditionalFormatting>
  <conditionalFormatting sqref="F2:F65539">
    <cfRule type="expression" dxfId="8" priority="12" stopIfTrue="1">
      <formula>AND($F2&lt;&gt;#REF!,$F2&gt;0)</formula>
    </cfRule>
  </conditionalFormatting>
  <conditionalFormatting sqref="H2:L37003">
    <cfRule type="containsBlanks" dxfId="7" priority="14" stopIfTrue="1">
      <formula>LEN(TRIM(H2))=0</formula>
    </cfRule>
  </conditionalFormatting>
  <conditionalFormatting sqref="I2:I37003">
    <cfRule type="expression" dxfId="6" priority="7" stopIfTrue="1">
      <formula>AND(LEFT($J2,4)="2700",OR(LEFT($I2,2)="Ba",LEFT($I2,2)="Re",LEFT($I2,3)="100",LEFT($I2,1)="2", LEFT($I2,1)="5", LEFT($I2,1)="6", LEFT($I2,3)="700", LEFT($I2,3)="800", LEFT($I2,3)="900"))</formula>
    </cfRule>
    <cfRule type="expression" dxfId="5" priority="8" stopIfTrue="1">
      <formula>AND(LEFT($H2,4)="1072",OR(LEFT($I2,3)="100",LEFT($I2,3)="200",LEFT($I2,3)="260",LEFT($I2,3)="270",LEFT($I2,3)="400", LEFT($I2,3)="430", LEFT($I2,1)="5", LEFT($I2,1)="6", LEFT($I2,3)="700", LEFT($I2,3)="800", LEFT($I2,3)="900"))</formula>
    </cfRule>
    <cfRule type="expression" dxfId="4" priority="11" stopIfTrue="1">
      <formula>AND(LEFT($H2,4)="1071",OR(LEFT($I2,3)="100",LEFT($I2,3)="200",LEFT($I2,3)="265",LEFT($I2,3)="270",LEFT($I2,3)="400", LEFT($I2,3)="435", LEFT($I2,1)="5", LEFT($I2,1)="6", LEFT($I2,3)="700", LEFT($I2,3)="800", LEFT($I2,3)="900"))</formula>
    </cfRule>
  </conditionalFormatting>
  <conditionalFormatting sqref="J2:J37003">
    <cfRule type="expression" dxfId="3" priority="1" stopIfTrue="1">
      <formula>AND(LEFT($K2,3)="682",OR(LEFT($J2,1)="B",LEFT($J2,1)="R",LEFT($J2,1)="1",LEFT($J2,2)="21",LEFT($J2,2)="22",LEFT($J2,2)="24",LEFT($J2,2)="25",LEFT($J2,2)="26",LEFT($J2,2)="27",LEFT($J2,2)="29",LEFT($J2,1)="3",LEFT($J2,1)="4",LEFT($J2,1)="5"))</formula>
    </cfRule>
    <cfRule type="expression" dxfId="2" priority="2" stopIfTrue="1">
      <formula>AND(LEFT($K2,3)="685",OR(LEFT($J2,1)="B",LEFT($J2,1)="R",LEFT($J2,1)="1",LEFT($J2,2)="21",LEFT($J2,2)="22",LEFT($J2,2)="23",LEFT($J2,2)="24",LEFT($J2,2)="26",LEFT($J2,2)="27",LEFT($J2,2)="29",LEFT($J2,1)="3",LEFT($J2,1)="4"))</formula>
    </cfRule>
  </conditionalFormatting>
  <conditionalFormatting sqref="K2:K37003">
    <cfRule type="expression" dxfId="1" priority="4" stopIfTrue="1">
      <formula>AND(OR(LEFT($H2,4)="1071",LEFT($H2,4)="1072"),OR(LEFT($K2,2)="13",LEFT($K2,2)="14",LEFT($K2,2)="16",LEFT($K2,2)="17",LEFT($K2,2)="18",LEFT($K2,2)="19",LEFT($K2,1)="O",LEFT($K2,1)="2",LEFT($K2,2)="31",LEFT($K2,2)="39",LEFT($K2,1)="4"))</formula>
    </cfRule>
    <cfRule type="expression" dxfId="0" priority="5" stopIfTrue="1">
      <formula>AND(LEFT($H2,3)="101",OR(LEFT($K2,2)="13",LEFT($K2,2)="14",LEFT($K2,2)="16",LEFT($K2,2)="17",LEFT($K2,2)="18",LEFT($K2,2)="19",LEFT($K2,1)="O",LEFT($K2,1)="2",LEFT($K2,1)="4"))</formula>
    </cfRule>
  </conditionalFormatting>
  <dataValidations count="5">
    <dataValidation type="list" allowBlank="1" showInputMessage="1" showErrorMessage="1" sqref="L2:L37003" xr:uid="{00000000-0002-0000-1000-000000000000}">
      <formula1>$Y$2:$Y$21</formula1>
    </dataValidation>
    <dataValidation type="list" allowBlank="1" showInputMessage="1" showErrorMessage="1" sqref="I2:I37003" xr:uid="{00000000-0002-0000-1000-000001000000}">
      <formula1>$N$2:$N$21</formula1>
    </dataValidation>
    <dataValidation type="list" allowBlank="1" showInputMessage="1" showErrorMessage="1" sqref="J2:J37003" xr:uid="{00000000-0002-0000-1000-000002000000}">
      <formula1>$O$2:$O$21</formula1>
    </dataValidation>
    <dataValidation type="list" allowBlank="1" showInputMessage="1" showErrorMessage="1" sqref="K2:K37003" xr:uid="{00000000-0002-0000-1000-000003000000}">
      <formula1>$P$2:$P$41</formula1>
    </dataValidation>
    <dataValidation type="list" allowBlank="1" showInputMessage="1" showErrorMessage="1" sqref="H2:H37003" xr:uid="{00000000-0002-0000-1000-000004000000}">
      <formula1>$M$3:$M$41</formula1>
    </dataValidation>
  </dataValidations>
  <hyperlinks>
    <hyperlink ref="M25:M27" location="ImpactAidandOtherFederalProjects" display="13__ Impact Aid" xr:uid="{00000000-0004-0000-1000-000000000000}"/>
  </hyperlinks>
  <pageMargins left="0.75" right="0.25" top="0.25" bottom="0.25" header="0.5" footer="0.15"/>
  <pageSetup paperSize="5" scale="52" orientation="landscape" r:id="rId1"/>
  <headerFooter>
    <oddFooter>&amp;LRev. 8/24 Arizona Department of Education and Auditor General&amp;CFY 2024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workbookViewId="0"/>
  </sheetViews>
  <sheetFormatPr defaultColWidth="9.33203125" defaultRowHeight="13.2" x14ac:dyDescent="0.25"/>
  <cols>
    <col min="1" max="1" width="27.33203125" customWidth="1"/>
    <col min="2" max="2" width="24" customWidth="1"/>
    <col min="3" max="3" width="23.33203125" customWidth="1"/>
    <col min="4" max="4" width="28.33203125" customWidth="1"/>
    <col min="5" max="5" width="26.33203125" customWidth="1"/>
  </cols>
  <sheetData>
    <row r="1" spans="1:5" ht="14.4" x14ac:dyDescent="0.3">
      <c r="A1" s="554" t="s">
        <v>1005</v>
      </c>
      <c r="B1" s="554" t="s">
        <v>1006</v>
      </c>
      <c r="C1" s="554" t="s">
        <v>1007</v>
      </c>
      <c r="D1" s="554" t="s">
        <v>1008</v>
      </c>
      <c r="E1" s="555" t="s">
        <v>1009</v>
      </c>
    </row>
    <row r="2" spans="1:5" x14ac:dyDescent="0.25">
      <c r="A2" s="556" t="s">
        <v>1010</v>
      </c>
      <c r="B2" s="556" t="s">
        <v>1010</v>
      </c>
      <c r="C2" s="556">
        <v>1000</v>
      </c>
      <c r="D2" s="556">
        <v>6100</v>
      </c>
      <c r="E2" s="557">
        <f>SUMIFS('Accounting data'!$G$2:$G$37003,'Accounting data'!$J$2:$J$37003,"1*",'Accounting data'!$K$2:$K$37003,"61*")</f>
        <v>29323</v>
      </c>
    </row>
    <row r="3" spans="1:5" x14ac:dyDescent="0.25">
      <c r="A3" s="556" t="s">
        <v>1011</v>
      </c>
      <c r="B3" s="556" t="s">
        <v>1010</v>
      </c>
      <c r="C3" s="556">
        <v>1000</v>
      </c>
      <c r="D3" s="556">
        <v>6100</v>
      </c>
      <c r="E3" s="557">
        <f>SUMIFS('Accounting data'!$G$2:$G$37003,'Accounting data'!$H$2:$H$37003,"9999*",'Accounting data'!$J$2:$J$37003,"1*",'Accounting data'!$K$2:$K$37003,"61*")</f>
        <v>0</v>
      </c>
    </row>
    <row r="4" spans="1:5" x14ac:dyDescent="0.25">
      <c r="A4" s="556" t="s">
        <v>1010</v>
      </c>
      <c r="B4" s="556" t="s">
        <v>1012</v>
      </c>
      <c r="C4" s="556">
        <v>1000</v>
      </c>
      <c r="D4" s="556">
        <v>6100</v>
      </c>
      <c r="E4" s="557">
        <f>SUMIFS('Accounting data'!$G$2:$G$37003,'Accounting data'!$I$2:$I$37003,"7*",'Accounting data'!$J$2:$J$37003,"1*",'Accounting data'!$K$2:$K$37003,"61*")+SUMIFS('Accounting data'!$G$2:$G$37003,'Accounting data'!$I$2:$I$37003,"8*",'Accounting data'!$J$2:$J$37003,"1*",'Accounting data'!$K$2:$K$37003,"61*")+SUMIFS('Accounting data'!$G$2:$G$37003,'Accounting data'!$I$2:$I$37003,"9*",'Accounting data'!$J$2:$J$37003,"1*",'Accounting data'!$K$2:$K$37003,"61*")</f>
        <v>0</v>
      </c>
    </row>
    <row r="5" spans="1:5" x14ac:dyDescent="0.25">
      <c r="A5" s="558" t="s">
        <v>1011</v>
      </c>
      <c r="B5" s="556" t="s">
        <v>1012</v>
      </c>
      <c r="C5" s="556">
        <v>1000</v>
      </c>
      <c r="D5" s="556">
        <v>6100</v>
      </c>
      <c r="E5" s="557">
        <f>SUMIFS('Accounting data'!$G$2:$G$37003,'Accounting data'!$H$2:$H$37003,"9999*",'Accounting data'!$I$2:$I$37003,"7*",'Accounting data'!$J$2:$J$37003,"1*",'Accounting data'!$K$2:$K$37003,"61*")+SUMIFS('Accounting data'!$G$2:$G$37003,'Accounting data'!$H$2:$H$37003,"9999*",'Accounting data'!$I$2:$I$37003,"8*",'Accounting data'!$J$2:$J$37003,"1*",'Accounting data'!$K$2:$K$37003,"61*")+SUMIFS('Accounting data'!$G$2:$G$37003,'Accounting data'!$H$2:$H$37003,"9999*",'Accounting data'!$I$2:$I$37003,"9*",'Accounting data'!$J$2:$J$37003,"1*",'Accounting data'!$K$2:$K$37003,"61*")</f>
        <v>0</v>
      </c>
    </row>
    <row r="6" spans="1:5" x14ac:dyDescent="0.25">
      <c r="A6" s="556"/>
      <c r="B6" s="556"/>
      <c r="C6" s="556"/>
      <c r="D6" s="556"/>
      <c r="E6" s="557"/>
    </row>
    <row r="7" spans="1:5" x14ac:dyDescent="0.25">
      <c r="A7" s="556"/>
      <c r="B7" s="556"/>
      <c r="C7" s="556"/>
      <c r="D7" s="556"/>
      <c r="E7" s="557"/>
    </row>
    <row r="8" spans="1:5" ht="14.4" x14ac:dyDescent="0.3">
      <c r="A8" s="559" t="s">
        <v>1013</v>
      </c>
      <c r="B8" s="559"/>
      <c r="C8" s="559"/>
      <c r="D8" s="559"/>
      <c r="E8" s="560">
        <f>(E2-E3-E4)+(E5+E6+E7)</f>
        <v>29323</v>
      </c>
    </row>
    <row r="9" spans="1:5" x14ac:dyDescent="0.25">
      <c r="A9" s="556" t="s">
        <v>1010</v>
      </c>
      <c r="B9" s="556" t="s">
        <v>1010</v>
      </c>
      <c r="C9" s="556">
        <v>2100</v>
      </c>
      <c r="D9" s="556">
        <v>6100</v>
      </c>
      <c r="E9" s="557">
        <f>SUMIFS('Accounting data'!$G$2:$G$37003,'Accounting data'!$J$2:$J$37003,"21*",'Accounting data'!$K$2:$K$37003,"61*")</f>
        <v>0</v>
      </c>
    </row>
    <row r="10" spans="1:5" x14ac:dyDescent="0.25">
      <c r="A10" s="556" t="s">
        <v>1011</v>
      </c>
      <c r="B10" s="556" t="s">
        <v>1010</v>
      </c>
      <c r="C10" s="556">
        <v>2100</v>
      </c>
      <c r="D10" s="556">
        <v>6100</v>
      </c>
      <c r="E10" s="557">
        <f>SUMIFS('Accounting data'!$G$2:$G$37003,'Accounting data'!$H$2:$H$37003,"9999*",'Accounting data'!$J$2:$J$37003,"21*",'Accounting data'!$K$2:$K$37003,"61*")</f>
        <v>0</v>
      </c>
    </row>
    <row r="11" spans="1:5" x14ac:dyDescent="0.25">
      <c r="A11" s="556" t="s">
        <v>1010</v>
      </c>
      <c r="B11" s="556" t="s">
        <v>1012</v>
      </c>
      <c r="C11" s="556">
        <v>2100</v>
      </c>
      <c r="D11" s="556">
        <v>6100</v>
      </c>
      <c r="E11" s="557">
        <f>SUMIFS('Accounting data'!$G$2:$G$37003,'Accounting data'!$I$2:$I$37003,"7*",'Accounting data'!$J$2:$J$37003,"21*",'Accounting data'!$K$2:$K$37003,"61*")+SUMIFS('Accounting data'!$G$2:$G$37003,'Accounting data'!$I$2:$I$37003,"8*",'Accounting data'!$J$2:$J$37003,"21*",'Accounting data'!$K$2:$K$37003,"61*")+SUMIFS('Accounting data'!$G$2:$G$37003,'Accounting data'!$I$2:$I$37003,"9*",'Accounting data'!$J$2:$J$37003,"21*",'Accounting data'!$K$2:$K$37003,"61*")</f>
        <v>0</v>
      </c>
    </row>
    <row r="12" spans="1:5" x14ac:dyDescent="0.25">
      <c r="A12" s="558" t="s">
        <v>1011</v>
      </c>
      <c r="B12" s="556" t="s">
        <v>1012</v>
      </c>
      <c r="C12" s="556">
        <v>2100</v>
      </c>
      <c r="D12" s="556">
        <v>6100</v>
      </c>
      <c r="E12" s="557">
        <f>SUMIFS('Accounting data'!$G$2:$G$37003,'Accounting data'!$H$2:$H$37003,"9999*",'Accounting data'!$I$2:$I$37003,"7*",'Accounting data'!$J$2:$J$37003,"21*",'Accounting data'!$K$2:$K$37003,"61*")+SUMIFS('Accounting data'!$G$2:$G$37003,'Accounting data'!$H$2:$H$37003,"9999*",'Accounting data'!$I$2:$I$37003,"8*",'Accounting data'!$J$2:$J$37003,"21*",'Accounting data'!$K$2:$K$37003,"61*")+SUMIFS('Accounting data'!$G$2:$G$37003,'Accounting data'!$H$2:$H$37003,"9999*",'Accounting data'!$I$2:$I$37003,"9*",'Accounting data'!$J$2:$J$37003,"21*",'Accounting data'!$K$2:$K$37003,"61*")</f>
        <v>0</v>
      </c>
    </row>
    <row r="13" spans="1:5" x14ac:dyDescent="0.25">
      <c r="A13" s="556"/>
      <c r="B13" s="556"/>
      <c r="C13" s="556"/>
      <c r="D13" s="556"/>
      <c r="E13" s="557"/>
    </row>
    <row r="14" spans="1:5" x14ac:dyDescent="0.25">
      <c r="A14" s="556"/>
      <c r="B14" s="556"/>
      <c r="C14" s="556"/>
      <c r="D14" s="556"/>
      <c r="E14" s="557"/>
    </row>
    <row r="15" spans="1:5" ht="14.4" x14ac:dyDescent="0.3">
      <c r="A15" s="559" t="s">
        <v>1014</v>
      </c>
      <c r="B15" s="559"/>
      <c r="C15" s="559"/>
      <c r="D15" s="559"/>
      <c r="E15" s="560">
        <f>(E9-E10-E11)+(E12+E13+E14)</f>
        <v>0</v>
      </c>
    </row>
    <row r="16" spans="1:5" x14ac:dyDescent="0.25">
      <c r="A16" s="556" t="s">
        <v>1010</v>
      </c>
      <c r="B16" s="556" t="s">
        <v>1010</v>
      </c>
      <c r="C16" s="556">
        <v>2200</v>
      </c>
      <c r="D16" s="556">
        <v>6100</v>
      </c>
      <c r="E16" s="557">
        <f>SUMIFS('Accounting data'!$G$2:$G$37003,'Accounting data'!$J$2:$J$37003,"22*",'Accounting data'!$K$2:$K$37003,"61*")</f>
        <v>0</v>
      </c>
    </row>
    <row r="17" spans="1:5" x14ac:dyDescent="0.25">
      <c r="A17" s="556" t="s">
        <v>1011</v>
      </c>
      <c r="B17" s="556" t="s">
        <v>1010</v>
      </c>
      <c r="C17" s="556">
        <v>2200</v>
      </c>
      <c r="D17" s="556">
        <v>6100</v>
      </c>
      <c r="E17" s="557">
        <f>SUMIFS('Accounting data'!$G$2:$G$37003,'Accounting data'!$H$2:$H$37003,"9999*",'Accounting data'!$J$2:$J$37003,"22*",'Accounting data'!$K$2:$K$37003,"61*")</f>
        <v>0</v>
      </c>
    </row>
    <row r="18" spans="1:5" x14ac:dyDescent="0.25">
      <c r="A18" s="556" t="s">
        <v>1010</v>
      </c>
      <c r="B18" s="556" t="s">
        <v>1012</v>
      </c>
      <c r="C18" s="556">
        <v>2200</v>
      </c>
      <c r="D18" s="556">
        <v>6100</v>
      </c>
      <c r="E18" s="557">
        <f>SUMIFS('Accounting data'!$G$2:$G$37003,'Accounting data'!$I$2:$I$37003,"7*",'Accounting data'!$J$2:$J$37003,"22*",'Accounting data'!$K$2:$K$37003,"61*")+SUMIFS('Accounting data'!$G$2:$G$37003,'Accounting data'!$I$2:$I$37003,"8*",'Accounting data'!$J$2:$J$37003,"22*",'Accounting data'!$K$2:$K$37003,"61*")+SUMIFS('Accounting data'!$G$2:$G$37003,'Accounting data'!$I$2:$I$37003,"9*",'Accounting data'!$J$2:$J$37003,"22*",'Accounting data'!$K$2:$K$37003,"61*")</f>
        <v>0</v>
      </c>
    </row>
    <row r="19" spans="1:5" x14ac:dyDescent="0.25">
      <c r="A19" s="558" t="s">
        <v>1011</v>
      </c>
      <c r="B19" s="556" t="s">
        <v>1012</v>
      </c>
      <c r="C19" s="556">
        <v>2200</v>
      </c>
      <c r="D19" s="556">
        <v>6100</v>
      </c>
      <c r="E19" s="557">
        <f>SUMIFS('Accounting data'!$G$2:$G$37003,'Accounting data'!$H$2:$H$37003,"9999*",'Accounting data'!$I$2:$I$37003,"7*",'Accounting data'!$J$2:$J$37003,"22*",'Accounting data'!$K$2:$K$37003,"61*")+SUMIFS('Accounting data'!$G$2:$G$37003,'Accounting data'!$H$2:$H$37003,"9999*",'Accounting data'!$I$2:$I$37003,"8*",'Accounting data'!$J$2:$J$37003,"22*",'Accounting data'!$K$2:$K$37003,"61*")+SUMIFS('Accounting data'!$G$2:$G$37003,'Accounting data'!$H$2:$H$37003,"9999*",'Accounting data'!$I$2:$I$37003,"9*",'Accounting data'!$J$2:$J$37003,"22*",'Accounting data'!$K$2:$K$37003,"61*")</f>
        <v>0</v>
      </c>
    </row>
    <row r="20" spans="1:5" x14ac:dyDescent="0.25">
      <c r="A20" s="556"/>
      <c r="B20" s="556"/>
      <c r="C20" s="556"/>
      <c r="D20" s="556"/>
      <c r="E20" s="557"/>
    </row>
    <row r="21" spans="1:5" x14ac:dyDescent="0.25">
      <c r="A21" s="556"/>
      <c r="B21" s="556"/>
      <c r="C21" s="556"/>
      <c r="D21" s="556"/>
      <c r="E21" s="557"/>
    </row>
    <row r="22" spans="1:5" ht="14.4" x14ac:dyDescent="0.3">
      <c r="A22" s="559" t="s">
        <v>1015</v>
      </c>
      <c r="B22" s="559"/>
      <c r="C22" s="559"/>
      <c r="D22" s="559"/>
      <c r="E22" s="560">
        <f>(E16-E17-E18)+(E19+E20+E21)</f>
        <v>0</v>
      </c>
    </row>
    <row r="23" spans="1:5" x14ac:dyDescent="0.25">
      <c r="A23" s="556" t="s">
        <v>1010</v>
      </c>
      <c r="B23" s="556" t="s">
        <v>1010</v>
      </c>
      <c r="C23" s="556">
        <v>2300</v>
      </c>
      <c r="D23" s="556">
        <v>6100</v>
      </c>
      <c r="E23" s="557">
        <f>SUMIFS('Accounting data'!$G$2:$G$37003,'Accounting data'!$J$2:$J$37003,"23*",'Accounting data'!$K$2:$K$37003,"61*")</f>
        <v>0</v>
      </c>
    </row>
    <row r="24" spans="1:5" x14ac:dyDescent="0.25">
      <c r="A24" s="556" t="s">
        <v>1011</v>
      </c>
      <c r="B24" s="556" t="s">
        <v>1010</v>
      </c>
      <c r="C24" s="556">
        <v>2300</v>
      </c>
      <c r="D24" s="556">
        <v>6100</v>
      </c>
      <c r="E24" s="557">
        <f>SUMIFS('Accounting data'!$G$2:$G$37003,'Accounting data'!$H$2:$H$37003,"9999*",'Accounting data'!$J$2:$J$37003,"23*",'Accounting data'!$K$2:$K$37003,"61*")</f>
        <v>0</v>
      </c>
    </row>
    <row r="25" spans="1:5" x14ac:dyDescent="0.25">
      <c r="A25" s="556" t="s">
        <v>1010</v>
      </c>
      <c r="B25" s="556" t="s">
        <v>1012</v>
      </c>
      <c r="C25" s="556">
        <v>2300</v>
      </c>
      <c r="D25" s="556">
        <v>6100</v>
      </c>
      <c r="E25" s="557">
        <f>SUMIFS('Accounting data'!$G$2:$G$37003,'Accounting data'!$I$2:$I$37003,"7*",'Accounting data'!$J$2:$J$37003,"23*",'Accounting data'!$K$2:$K$37003,"61*")+SUMIFS('Accounting data'!$G$2:$G$37003,'Accounting data'!$I$2:$I$37003,"8*",'Accounting data'!$J$2:$J$37003,"23*",'Accounting data'!$K$2:$K$37003,"61*")+SUMIFS('Accounting data'!$G$2:$G$37003,'Accounting data'!$I$2:$I$37003,"9*",'Accounting data'!$J$2:$J$37003,"23*",'Accounting data'!$K$2:$K$37003,"61*")</f>
        <v>0</v>
      </c>
    </row>
    <row r="26" spans="1:5" x14ac:dyDescent="0.25">
      <c r="A26" s="558" t="s">
        <v>1011</v>
      </c>
      <c r="B26" s="556" t="s">
        <v>1012</v>
      </c>
      <c r="C26" s="556">
        <v>2300</v>
      </c>
      <c r="D26" s="556">
        <v>6100</v>
      </c>
      <c r="E26" s="557">
        <f>SUMIFS('Accounting data'!$G$2:$G$37003,'Accounting data'!$H$2:$H$37003,"9999*",'Accounting data'!$I$2:$I$37003,"7*",'Accounting data'!$J$2:$J$37003,"23*",'Accounting data'!$K$2:$K$37003,"61*")+SUMIFS('Accounting data'!$G$2:$G$37003,'Accounting data'!$H$2:$H$37003,"9999*",'Accounting data'!$I$2:$I$37003,"8*",'Accounting data'!$J$2:$J$37003,"23*",'Accounting data'!$K$2:$K$37003,"61*")+SUMIFS('Accounting data'!$G$2:$G$37003,'Accounting data'!$H$2:$H$37003,"9999*",'Accounting data'!$I$2:$I$37003,"9*",'Accounting data'!$J$2:$J$37003,"23*",'Accounting data'!$K$2:$K$37003,"61*")</f>
        <v>0</v>
      </c>
    </row>
    <row r="27" spans="1:5" x14ac:dyDescent="0.25">
      <c r="A27" s="556"/>
      <c r="B27" s="556"/>
      <c r="C27" s="556"/>
      <c r="D27" s="556"/>
      <c r="E27" s="557"/>
    </row>
    <row r="28" spans="1:5" x14ac:dyDescent="0.25">
      <c r="A28" s="556"/>
      <c r="B28" s="556"/>
      <c r="C28" s="556"/>
      <c r="D28" s="556"/>
      <c r="E28" s="557"/>
    </row>
    <row r="29" spans="1:5" x14ac:dyDescent="0.25">
      <c r="A29" s="559" t="s">
        <v>1016</v>
      </c>
      <c r="B29" s="559"/>
      <c r="C29" s="559"/>
      <c r="D29" s="559"/>
      <c r="E29" s="561">
        <f>(E23-E24-E25)+(E26+E27+E28)</f>
        <v>0</v>
      </c>
    </row>
    <row r="30" spans="1:5" x14ac:dyDescent="0.25">
      <c r="A30" s="556" t="s">
        <v>1010</v>
      </c>
      <c r="B30" s="556" t="s">
        <v>1010</v>
      </c>
      <c r="C30" s="556">
        <v>2400</v>
      </c>
      <c r="D30" s="556">
        <v>6100</v>
      </c>
      <c r="E30" s="557">
        <f>SUMIFS('Accounting data'!$G$2:$G$37003,'Accounting data'!$J$2:$J$37003,"24*",'Accounting data'!$K$2:$K$37003,"61*")</f>
        <v>0</v>
      </c>
    </row>
    <row r="31" spans="1:5" x14ac:dyDescent="0.25">
      <c r="A31" s="556" t="s">
        <v>1011</v>
      </c>
      <c r="B31" s="556" t="s">
        <v>1010</v>
      </c>
      <c r="C31" s="556">
        <v>2400</v>
      </c>
      <c r="D31" s="556">
        <v>6100</v>
      </c>
      <c r="E31" s="557">
        <f>SUMIFS('Accounting data'!$G$2:$G$37003,'Accounting data'!$H$2:$H$37003,"9999*",'Accounting data'!$J$2:$J$37003,"24*",'Accounting data'!$K$2:$K$37003,"61*")</f>
        <v>0</v>
      </c>
    </row>
    <row r="32" spans="1:5" x14ac:dyDescent="0.25">
      <c r="A32" s="556" t="s">
        <v>1010</v>
      </c>
      <c r="B32" s="556" t="s">
        <v>1012</v>
      </c>
      <c r="C32" s="556">
        <v>2400</v>
      </c>
      <c r="D32" s="556">
        <v>6100</v>
      </c>
      <c r="E32" s="557">
        <f>SUMIFS('Accounting data'!$G$2:$G$37003,'Accounting data'!$I$2:$I$37003,"7*",'Accounting data'!$J$2:$J$37003,"24*",'Accounting data'!$K$2:$K$37003,"61*")+SUMIFS('Accounting data'!$G$2:$G$37003,'Accounting data'!$I$2:$I$37003,"8*",'Accounting data'!$J$2:$J$37003,"24*",'Accounting data'!$K$2:$K$37003,"61*")+SUMIFS('Accounting data'!$G$2:$G$37003,'Accounting data'!$I$2:$I$37003,"9*",'Accounting data'!$J$2:$J$37003,"24*",'Accounting data'!$K$2:$K$37003,"61*")</f>
        <v>0</v>
      </c>
    </row>
    <row r="33" spans="1:5" x14ac:dyDescent="0.25">
      <c r="A33" s="558" t="s">
        <v>1011</v>
      </c>
      <c r="B33" s="556" t="s">
        <v>1012</v>
      </c>
      <c r="C33" s="556">
        <v>2400</v>
      </c>
      <c r="D33" s="556">
        <v>6100</v>
      </c>
      <c r="E33" s="557">
        <f>SUMIFS('Accounting data'!$G$2:$G$37003,'Accounting data'!$H$2:$H$37003,"9999*",'Accounting data'!$I$2:$I$37003,"7*",'Accounting data'!$J$2:$J$37003,"24*",'Accounting data'!$K$2:$K$37003,"61*")+SUMIFS('Accounting data'!$G$2:$G$37003,'Accounting data'!$H$2:$H$37003,"9999*",'Accounting data'!$I$2:$I$37003,"8*",'Accounting data'!$J$2:$J$37003,"24*",'Accounting data'!$K$2:$K$37003,"61*")+SUMIFS('Accounting data'!$G$2:$G$37003,'Accounting data'!$H$2:$H$37003,"9999*",'Accounting data'!$I$2:$I$37003,"9*",'Accounting data'!$J$2:$J$37003,"24*",'Accounting data'!$K$2:$K$37003,"61*")</f>
        <v>0</v>
      </c>
    </row>
    <row r="34" spans="1:5" x14ac:dyDescent="0.25">
      <c r="A34" s="556"/>
      <c r="B34" s="556"/>
      <c r="C34" s="556"/>
      <c r="D34" s="556"/>
      <c r="E34" s="557"/>
    </row>
    <row r="35" spans="1:5" x14ac:dyDescent="0.25">
      <c r="A35" s="556"/>
      <c r="B35" s="556"/>
      <c r="C35" s="556"/>
      <c r="D35" s="556"/>
      <c r="E35" s="557"/>
    </row>
    <row r="36" spans="1:5" ht="14.4" x14ac:dyDescent="0.3">
      <c r="A36" s="559" t="s">
        <v>1017</v>
      </c>
      <c r="B36" s="559"/>
      <c r="C36" s="559"/>
      <c r="D36" s="559"/>
      <c r="E36" s="560">
        <f>(E30-E31-E32)+(E33+E34+E35)</f>
        <v>0</v>
      </c>
    </row>
    <row r="37" spans="1:5" x14ac:dyDescent="0.25">
      <c r="A37" s="556" t="s">
        <v>1010</v>
      </c>
      <c r="B37" s="556" t="s">
        <v>1010</v>
      </c>
      <c r="C37" s="556">
        <v>2500</v>
      </c>
      <c r="D37" s="556">
        <v>6100</v>
      </c>
      <c r="E37" s="557">
        <f>SUMIFS('Accounting data'!$G$2:$G$37003,'Accounting data'!$J$2:$J$37003,"25*",'Accounting data'!$K$2:$K$37003,"61*")</f>
        <v>0</v>
      </c>
    </row>
    <row r="38" spans="1:5" x14ac:dyDescent="0.25">
      <c r="A38" s="556" t="s">
        <v>1011</v>
      </c>
      <c r="B38" s="556" t="s">
        <v>1010</v>
      </c>
      <c r="C38" s="556">
        <v>2500</v>
      </c>
      <c r="D38" s="556">
        <v>6100</v>
      </c>
      <c r="E38" s="557">
        <f>SUMIFS('Accounting data'!$G$2:$G$37003,'Accounting data'!$H$2:$H$37003,"9999*",'Accounting data'!$J$2:$J$37003,"25*",'Accounting data'!$K$2:$K$37003,"61*")</f>
        <v>0</v>
      </c>
    </row>
    <row r="39" spans="1:5" x14ac:dyDescent="0.25">
      <c r="A39" s="556" t="s">
        <v>1010</v>
      </c>
      <c r="B39" s="556" t="s">
        <v>1012</v>
      </c>
      <c r="C39" s="556">
        <v>2500</v>
      </c>
      <c r="D39" s="556">
        <v>6100</v>
      </c>
      <c r="E39" s="557">
        <f>SUMIFS('Accounting data'!$G$2:$G$37003,'Accounting data'!$I$2:$I$37003,"7*",'Accounting data'!$J$2:$J$37003,"25*",'Accounting data'!$K$2:$K$37003,"61*")+SUMIFS('Accounting data'!$G$2:$G$37003,'Accounting data'!$I$2:$I$37003,"8*",'Accounting data'!$J$2:$J$37003,"25*",'Accounting data'!$K$2:$K$37003,"61*")+SUMIFS('Accounting data'!$G$2:$G$37003,'Accounting data'!$I$2:$I$37003,"9*",'Accounting data'!$J$2:$J$37003,"25*",'Accounting data'!$K$2:$K$37003,"61*")</f>
        <v>0</v>
      </c>
    </row>
    <row r="40" spans="1:5" x14ac:dyDescent="0.25">
      <c r="A40" s="558" t="s">
        <v>1011</v>
      </c>
      <c r="B40" s="556" t="s">
        <v>1012</v>
      </c>
      <c r="C40" s="556">
        <v>2500</v>
      </c>
      <c r="D40" s="556">
        <v>6100</v>
      </c>
      <c r="E40" s="557">
        <f>SUMIFS('Accounting data'!$G$2:$G$37003,'Accounting data'!$H$2:$H$37003,"9999*",'Accounting data'!$I$2:$I$37003,"7*",'Accounting data'!$J$2:$J$37003,"25*",'Accounting data'!$K$2:$K$37003,"61*")+SUMIFS('Accounting data'!$G$2:$G$37003,'Accounting data'!$H$2:$H$37003,"9999*",'Accounting data'!$I$2:$I$37003,"8*",'Accounting data'!$J$2:$J$37003,"25*",'Accounting data'!$K$2:$K$37003,"61*")+SUMIFS('Accounting data'!$G$2:$G$37003,'Accounting data'!$H$2:$H$37003,"9999*",'Accounting data'!$I$2:$I$37003,"9*",'Accounting data'!$J$2:$J$37003,"25*",'Accounting data'!$K$2:$K$37003,"61*")</f>
        <v>0</v>
      </c>
    </row>
    <row r="41" spans="1:5" x14ac:dyDescent="0.25">
      <c r="A41" s="556"/>
      <c r="B41" s="556"/>
      <c r="C41" s="556"/>
      <c r="D41" s="556"/>
      <c r="E41" s="557"/>
    </row>
    <row r="42" spans="1:5" x14ac:dyDescent="0.25">
      <c r="A42" s="556"/>
      <c r="B42" s="556"/>
      <c r="C42" s="556"/>
      <c r="D42" s="556"/>
      <c r="E42" s="557"/>
    </row>
    <row r="43" spans="1:5" ht="14.4" x14ac:dyDescent="0.3">
      <c r="A43" s="559" t="s">
        <v>1018</v>
      </c>
      <c r="B43" s="559"/>
      <c r="C43" s="559"/>
      <c r="D43" s="559"/>
      <c r="E43" s="560">
        <f>(E37-E38-E39)+(E40+E41+E42)</f>
        <v>0</v>
      </c>
    </row>
    <row r="44" spans="1:5" x14ac:dyDescent="0.25">
      <c r="A44" s="556" t="s">
        <v>1010</v>
      </c>
      <c r="B44" s="556" t="s">
        <v>1010</v>
      </c>
      <c r="C44" s="556">
        <v>2900</v>
      </c>
      <c r="D44" s="556">
        <v>6100</v>
      </c>
      <c r="E44" s="557">
        <f>SUMIFS('Accounting data'!$G$2:$G$37003,'Accounting data'!$J$2:$J$37003,"29*",'Accounting data'!$K$2:$K$37003,"61*")</f>
        <v>0</v>
      </c>
    </row>
    <row r="45" spans="1:5" x14ac:dyDescent="0.25">
      <c r="A45" s="556" t="s">
        <v>1011</v>
      </c>
      <c r="B45" s="556" t="s">
        <v>1010</v>
      </c>
      <c r="C45" s="556">
        <v>2900</v>
      </c>
      <c r="D45" s="556">
        <v>6100</v>
      </c>
      <c r="E45" s="557">
        <f>SUMIFS('Accounting data'!$G$2:$G$37003,'Accounting data'!$H$2:$H$37003,"9999*",'Accounting data'!$J$2:$J$37003,"29*",'Accounting data'!$K$2:$K$37003,"61*")</f>
        <v>0</v>
      </c>
    </row>
    <row r="46" spans="1:5" x14ac:dyDescent="0.25">
      <c r="A46" s="556" t="s">
        <v>1010</v>
      </c>
      <c r="B46" s="556" t="s">
        <v>1012</v>
      </c>
      <c r="C46" s="556">
        <v>2900</v>
      </c>
      <c r="D46" s="556">
        <v>6100</v>
      </c>
      <c r="E46" s="557">
        <f>SUMIFS('Accounting data'!$G$2:$G$37003,'Accounting data'!$I$2:$I$37003,"7*",'Accounting data'!$J$2:$J$37003,"29*",'Accounting data'!$K$2:$K$37003,"61*")+SUMIFS('Accounting data'!$G$2:$G$37003,'Accounting data'!$I$2:$I$37003,"8*",'Accounting data'!$J$2:$J$37003,"29*",'Accounting data'!$K$2:$K$37003,"61*")+SUMIFS('Accounting data'!$G$2:$G$37003,'Accounting data'!$I$2:$I$37003,"9*",'Accounting data'!$J$2:$J$37003,"29*",'Accounting data'!$K$2:$K$37003,"61*")</f>
        <v>0</v>
      </c>
    </row>
    <row r="47" spans="1:5" x14ac:dyDescent="0.25">
      <c r="A47" s="558" t="s">
        <v>1011</v>
      </c>
      <c r="B47" s="556" t="s">
        <v>1012</v>
      </c>
      <c r="C47" s="556">
        <v>2900</v>
      </c>
      <c r="D47" s="556">
        <v>6100</v>
      </c>
      <c r="E47" s="557">
        <f>SUMIFS('Accounting data'!$G$2:$G$37003,'Accounting data'!$H$2:$H$37003,"9999*",'Accounting data'!$I$2:$I$37003,"7*",'Accounting data'!$J$2:$J$37003,"29*",'Accounting data'!$K$2:$K$37003,"61*")+SUMIFS('Accounting data'!$G$2:$G$37003,'Accounting data'!$H$2:$H$37003,"9999*",'Accounting data'!$I$2:$I$37003,"8*",'Accounting data'!$J$2:$J$37003,"29*",'Accounting data'!$K$2:$K$37003,"61*")+SUMIFS('Accounting data'!$G$2:$G$37003,'Accounting data'!$H$2:$H$37003,"9999*",'Accounting data'!$I$2:$I$37003,"9*",'Accounting data'!$J$2:$J$37003,"29*",'Accounting data'!$K$2:$K$37003,"61*")</f>
        <v>0</v>
      </c>
    </row>
    <row r="48" spans="1:5" x14ac:dyDescent="0.25">
      <c r="A48" s="556"/>
      <c r="B48" s="556"/>
      <c r="C48" s="556"/>
      <c r="D48" s="556"/>
      <c r="E48" s="557"/>
    </row>
    <row r="49" spans="1:5" x14ac:dyDescent="0.25">
      <c r="A49" s="556"/>
      <c r="B49" s="556"/>
      <c r="C49" s="556"/>
      <c r="D49" s="556"/>
      <c r="E49" s="557"/>
    </row>
    <row r="50" spans="1:5" ht="14.4" x14ac:dyDescent="0.3">
      <c r="A50" s="559" t="s">
        <v>1019</v>
      </c>
      <c r="B50" s="559"/>
      <c r="C50" s="559"/>
      <c r="D50" s="559"/>
      <c r="E50" s="560">
        <f>(E44-E45-E46)+(E47+E48+E49)</f>
        <v>0</v>
      </c>
    </row>
    <row r="51" spans="1:5" x14ac:dyDescent="0.25">
      <c r="A51" s="556" t="s">
        <v>1010</v>
      </c>
      <c r="B51" s="556" t="s">
        <v>1010</v>
      </c>
      <c r="C51" s="556">
        <v>2600</v>
      </c>
      <c r="D51" s="556">
        <v>6100</v>
      </c>
      <c r="E51" s="557">
        <f>SUMIFS('Accounting data'!$G$2:$G$37003,'Accounting data'!$J$2:$J$37003,"26*",'Accounting data'!$K$2:$K$37003,"61*")</f>
        <v>0</v>
      </c>
    </row>
    <row r="52" spans="1:5" x14ac:dyDescent="0.25">
      <c r="A52" s="556" t="s">
        <v>1011</v>
      </c>
      <c r="B52" s="556" t="s">
        <v>1010</v>
      </c>
      <c r="C52" s="556">
        <v>2600</v>
      </c>
      <c r="D52" s="556">
        <v>6100</v>
      </c>
      <c r="E52" s="557">
        <f>SUMIFS('Accounting data'!$G$2:$G$37003,'Accounting data'!$H$2:$H$37003,"9999*",'Accounting data'!$J$2:$J$37003,"26*",'Accounting data'!$K$2:$K$37003,"61*")</f>
        <v>0</v>
      </c>
    </row>
    <row r="53" spans="1:5" x14ac:dyDescent="0.25">
      <c r="A53" s="556" t="s">
        <v>1010</v>
      </c>
      <c r="B53" s="556" t="s">
        <v>1012</v>
      </c>
      <c r="C53" s="556">
        <v>2600</v>
      </c>
      <c r="D53" s="556">
        <v>6100</v>
      </c>
      <c r="E53" s="557">
        <f>SUMIFS('Accounting data'!$G$2:$G$37003,'Accounting data'!$I$2:$I$37003,"7*",'Accounting data'!$J$2:$J$37003,"26*",'Accounting data'!$K$2:$K$37003,"61*")+SUMIFS('Accounting data'!$G$2:$G$37003,'Accounting data'!$I$2:$I$37003,"8*",'Accounting data'!$J$2:$J$37003,"26*",'Accounting data'!$K$2:$K$37003,"61*")+SUMIFS('Accounting data'!$G$2:$G$37003,'Accounting data'!$I$2:$I$37003,"9*",'Accounting data'!$J$2:$J$37003,"26*",'Accounting data'!$K$2:$K$37003,"61*")</f>
        <v>0</v>
      </c>
    </row>
    <row r="54" spans="1:5" x14ac:dyDescent="0.25">
      <c r="A54" s="558" t="s">
        <v>1011</v>
      </c>
      <c r="B54" s="556" t="s">
        <v>1012</v>
      </c>
      <c r="C54" s="556">
        <v>2600</v>
      </c>
      <c r="D54" s="556">
        <v>6100</v>
      </c>
      <c r="E54" s="557">
        <f>SUMIFS('Accounting data'!$G$2:$G$37003,'Accounting data'!$H$2:$H$37003,"9999*",'Accounting data'!$I$2:$I$37003,"7*",'Accounting data'!$J$2:$J$37003,"26*",'Accounting data'!$K$2:$K$37003,"61*")+SUMIFS('Accounting data'!$G$2:$G$37003,'Accounting data'!$H$2:$H$37003,"9999*",'Accounting data'!$I$2:$I$37003,"8*",'Accounting data'!$J$2:$J$37003,"26*",'Accounting data'!$K$2:$K$37003,"61*")+SUMIFS('Accounting data'!$G$2:$G$37003,'Accounting data'!$H$2:$H$37003,"9999*",'Accounting data'!$I$2:$I$37003,"9*",'Accounting data'!$J$2:$J$37003,"26*",'Accounting data'!$K$2:$K$37003,"61*")</f>
        <v>0</v>
      </c>
    </row>
    <row r="55" spans="1:5" x14ac:dyDescent="0.25">
      <c r="A55" s="556"/>
      <c r="B55" s="556"/>
      <c r="C55" s="556"/>
      <c r="D55" s="556"/>
      <c r="E55" s="557"/>
    </row>
    <row r="56" spans="1:5" x14ac:dyDescent="0.25">
      <c r="A56" s="556"/>
      <c r="B56" s="556"/>
      <c r="C56" s="556"/>
      <c r="D56" s="556"/>
      <c r="E56" s="557"/>
    </row>
    <row r="57" spans="1:5" ht="14.4" x14ac:dyDescent="0.3">
      <c r="A57" s="559" t="s">
        <v>1020</v>
      </c>
      <c r="B57" s="559"/>
      <c r="C57" s="559"/>
      <c r="D57" s="559"/>
      <c r="E57" s="560">
        <f>(E51-E52-E53)+(E54+E55+E56)</f>
        <v>0</v>
      </c>
    </row>
    <row r="58" spans="1:5" x14ac:dyDescent="0.25">
      <c r="A58" s="556" t="s">
        <v>1010</v>
      </c>
      <c r="B58" s="556" t="s">
        <v>1010</v>
      </c>
      <c r="C58" s="556">
        <v>2700</v>
      </c>
      <c r="D58" s="556">
        <v>6100</v>
      </c>
      <c r="E58" s="557">
        <f>SUMIFS('Accounting data'!$G$2:$G$37003,'Accounting data'!$J$2:$J$37003,"27*",'Accounting data'!$K$2:$K$37003,"61*")</f>
        <v>0</v>
      </c>
    </row>
    <row r="59" spans="1:5" x14ac:dyDescent="0.25">
      <c r="A59" s="556" t="s">
        <v>1011</v>
      </c>
      <c r="B59" s="556" t="s">
        <v>1010</v>
      </c>
      <c r="C59" s="556">
        <v>2700</v>
      </c>
      <c r="D59" s="556">
        <v>6100</v>
      </c>
      <c r="E59" s="557">
        <f>SUMIFS('Accounting data'!$G$2:$G$37003,'Accounting data'!$H$2:$H$37003,"9999*",'Accounting data'!$J$2:$J$37003,"27*",'Accounting data'!$K$2:$K$37003,"61*")</f>
        <v>0</v>
      </c>
    </row>
    <row r="60" spans="1:5" x14ac:dyDescent="0.25">
      <c r="A60" s="556" t="s">
        <v>1010</v>
      </c>
      <c r="B60" s="556" t="s">
        <v>1012</v>
      </c>
      <c r="C60" s="556">
        <v>2700</v>
      </c>
      <c r="D60" s="556">
        <v>6100</v>
      </c>
      <c r="E60" s="557">
        <f>SUMIFS('Accounting data'!$G$2:$G$37003,'Accounting data'!$I$2:$I$37003,"7*",'Accounting data'!$J$2:$J$37003,"27*",'Accounting data'!$K$2:$K$37003,"61*")+SUMIFS('Accounting data'!$G$2:$G$37003,'Accounting data'!$I$2:$I$37003,"8*",'Accounting data'!$J$2:$J$37003,"27*",'Accounting data'!$K$2:$K$37003,"61*")+SUMIFS('Accounting data'!$G$2:$G$37003,'Accounting data'!$I$2:$I$37003,"9*",'Accounting data'!$J$2:$J$37003,"27*",'Accounting data'!$K$2:$K$37003,"61*")</f>
        <v>0</v>
      </c>
    </row>
    <row r="61" spans="1:5" x14ac:dyDescent="0.25">
      <c r="A61" s="558" t="s">
        <v>1011</v>
      </c>
      <c r="B61" s="556" t="s">
        <v>1012</v>
      </c>
      <c r="C61" s="556">
        <v>2700</v>
      </c>
      <c r="D61" s="556">
        <v>6100</v>
      </c>
      <c r="E61" s="557">
        <f>SUMIFS('Accounting data'!$G$2:$G$37003,'Accounting data'!$H$2:$H$37003,"9999*",'Accounting data'!$I$2:$I$37003,"7*",'Accounting data'!$J$2:$J$37003,"27*",'Accounting data'!$K$2:$K$37003,"61*")+SUMIFS('Accounting data'!$G$2:$G$37003,'Accounting data'!$H$2:$H$37003,"9999*",'Accounting data'!$I$2:$I$37003,"8*",'Accounting data'!$J$2:$J$37003,"27*",'Accounting data'!$K$2:$K$37003,"61*")+SUMIFS('Accounting data'!$G$2:$G$37003,'Accounting data'!$H$2:$H$37003,"9999*",'Accounting data'!$I$2:$I$37003,"9*",'Accounting data'!$J$2:$J$37003,"27*",'Accounting data'!$K$2:$K$37003,"61*")</f>
        <v>0</v>
      </c>
    </row>
    <row r="62" spans="1:5" x14ac:dyDescent="0.25">
      <c r="A62" s="556"/>
      <c r="B62" s="556"/>
      <c r="C62" s="556"/>
      <c r="D62" s="556"/>
      <c r="E62" s="557"/>
    </row>
    <row r="63" spans="1:5" x14ac:dyDescent="0.25">
      <c r="A63" s="556"/>
      <c r="B63" s="556"/>
      <c r="C63" s="556"/>
      <c r="D63" s="556"/>
      <c r="E63" s="557"/>
    </row>
    <row r="64" spans="1:5" ht="14.4" x14ac:dyDescent="0.3">
      <c r="A64" s="559" t="s">
        <v>1021</v>
      </c>
      <c r="B64" s="559"/>
      <c r="C64" s="559"/>
      <c r="D64" s="559"/>
      <c r="E64" s="560">
        <f>(E58-E59-E60)+(E61+E62+E63)</f>
        <v>0</v>
      </c>
    </row>
    <row r="65" spans="1:5" x14ac:dyDescent="0.25">
      <c r="A65" s="556" t="s">
        <v>1010</v>
      </c>
      <c r="B65" s="556" t="s">
        <v>1010</v>
      </c>
      <c r="C65" s="556">
        <v>3100</v>
      </c>
      <c r="D65" s="556">
        <v>6100</v>
      </c>
      <c r="E65" s="557">
        <f>SUMIFS('Accounting data'!$G$2:$G$37003,'Accounting data'!$J$2:$J$37003,"31*",'Accounting data'!$K$2:$K$37003,"61*")</f>
        <v>0</v>
      </c>
    </row>
    <row r="66" spans="1:5" x14ac:dyDescent="0.25">
      <c r="A66" s="556" t="s">
        <v>1011</v>
      </c>
      <c r="B66" s="556" t="s">
        <v>1010</v>
      </c>
      <c r="C66" s="556">
        <v>3100</v>
      </c>
      <c r="D66" s="556">
        <v>6100</v>
      </c>
      <c r="E66" s="557">
        <f>SUMIFS('Accounting data'!$G$2:$G$37003,'Accounting data'!$H$2:$H$37003,"9999*",'Accounting data'!$J$2:$J$37003,"31*",'Accounting data'!$K$2:$K$37003,"61*")</f>
        <v>0</v>
      </c>
    </row>
    <row r="67" spans="1:5" x14ac:dyDescent="0.25">
      <c r="A67" s="556" t="s">
        <v>1010</v>
      </c>
      <c r="B67" s="556" t="s">
        <v>1012</v>
      </c>
      <c r="C67" s="556">
        <v>3100</v>
      </c>
      <c r="D67" s="556">
        <v>6100</v>
      </c>
      <c r="E67" s="557">
        <f>SUMIFS('Accounting data'!$G$2:$G$37003,'Accounting data'!$I$2:$I$37003,"7*",'Accounting data'!$J$2:$J$37003,"31*",'Accounting data'!$K$2:$K$37003,"61*")+SUMIFS('Accounting data'!$G$2:$G$37003,'Accounting data'!$I$2:$I$37003,"8*",'Accounting data'!$J$2:$J$37003,"31*",'Accounting data'!$K$2:$K$37003,"61*")+SUMIFS('Accounting data'!$G$2:$G$37003,'Accounting data'!$I$2:$I$37003,"9*",'Accounting data'!$J$2:$J$37003,"31*",'Accounting data'!$K$2:$K$37003,"61*")</f>
        <v>0</v>
      </c>
    </row>
    <row r="68" spans="1:5" x14ac:dyDescent="0.25">
      <c r="A68" s="558" t="s">
        <v>1011</v>
      </c>
      <c r="B68" s="556" t="s">
        <v>1012</v>
      </c>
      <c r="C68" s="556">
        <v>3100</v>
      </c>
      <c r="D68" s="556">
        <v>6100</v>
      </c>
      <c r="E68" s="557">
        <f>SUMIFS('Accounting data'!$G$2:$G$37003,'Accounting data'!$H$2:$H$37003,"9999*",'Accounting data'!$I$2:$I$37003,"7*",'Accounting data'!$J$2:$J$37003,"31*",'Accounting data'!$K$2:$K$37003,"61*")+SUMIFS('Accounting data'!$G$2:$G$37003,'Accounting data'!$H$2:$H$37003,"9999*",'Accounting data'!$I$2:$I$37003,"8*",'Accounting data'!$J$2:$J$37003,"31*",'Accounting data'!$K$2:$K$37003,"61*")+SUMIFS('Accounting data'!$G$2:$G$37003,'Accounting data'!$H$2:$H$37003,"9999*",'Accounting data'!$I$2:$I$37003,"9*",'Accounting data'!$J$2:$J$37003,"31*",'Accounting data'!$K$2:$K$37003,"61*")</f>
        <v>0</v>
      </c>
    </row>
    <row r="69" spans="1:5" x14ac:dyDescent="0.25">
      <c r="A69" s="556"/>
      <c r="B69" s="556"/>
      <c r="C69" s="556"/>
      <c r="D69" s="556"/>
      <c r="E69" s="557"/>
    </row>
    <row r="70" spans="1:5" x14ac:dyDescent="0.25">
      <c r="A70" s="556"/>
      <c r="B70" s="556"/>
      <c r="C70" s="556"/>
      <c r="D70" s="556"/>
      <c r="E70" s="557"/>
    </row>
    <row r="71" spans="1:5" ht="14.4" x14ac:dyDescent="0.3">
      <c r="A71" s="559" t="s">
        <v>1022</v>
      </c>
      <c r="B71" s="559"/>
      <c r="C71" s="559"/>
      <c r="D71" s="559"/>
      <c r="E71" s="560">
        <f>(E65-E66-E67)+(E68+E69+E70)</f>
        <v>0</v>
      </c>
    </row>
    <row r="72" spans="1:5" x14ac:dyDescent="0.25">
      <c r="A72" s="556"/>
      <c r="B72" s="556"/>
      <c r="C72" s="556"/>
      <c r="D72" s="556"/>
      <c r="E72" s="557"/>
    </row>
    <row r="73" spans="1:5" x14ac:dyDescent="0.25">
      <c r="A73" s="556"/>
      <c r="B73" s="556"/>
      <c r="C73" s="556"/>
      <c r="D73" s="556"/>
      <c r="E73" s="557"/>
    </row>
    <row r="74" spans="1:5" x14ac:dyDescent="0.25">
      <c r="A74" s="556"/>
      <c r="B74" s="556"/>
      <c r="C74" s="556"/>
      <c r="D74" s="556"/>
      <c r="E74" s="557"/>
    </row>
    <row r="75" spans="1:5" x14ac:dyDescent="0.25">
      <c r="A75" s="558"/>
      <c r="B75" s="556"/>
      <c r="C75" s="556"/>
      <c r="D75" s="556"/>
      <c r="E75" s="557"/>
    </row>
    <row r="76" spans="1:5" x14ac:dyDescent="0.25">
      <c r="A76" s="556"/>
      <c r="B76" s="556"/>
      <c r="C76" s="556"/>
      <c r="D76" s="556"/>
      <c r="E76" s="557"/>
    </row>
    <row r="77" spans="1:5" x14ac:dyDescent="0.25">
      <c r="A77" s="556"/>
      <c r="B77" s="556"/>
      <c r="C77" s="556"/>
      <c r="D77" s="556"/>
      <c r="E77" s="557"/>
    </row>
    <row r="78" spans="1:5" ht="14.4" x14ac:dyDescent="0.3">
      <c r="A78" s="559"/>
      <c r="B78" s="559"/>
      <c r="C78" s="559"/>
      <c r="D78" s="559"/>
      <c r="E78" s="560"/>
    </row>
    <row r="79" spans="1:5" x14ac:dyDescent="0.25">
      <c r="A79" s="556" t="s">
        <v>1010</v>
      </c>
      <c r="B79" s="556" t="s">
        <v>1010</v>
      </c>
      <c r="C79" s="556">
        <v>3400</v>
      </c>
      <c r="D79" s="556">
        <v>6100</v>
      </c>
      <c r="E79" s="557">
        <f>SUMIFS('Accounting data'!$G$2:$G$37003,'Accounting data'!$J$2:$J$37003,"34*",'Accounting data'!$K$2:$K$37003,"61*")</f>
        <v>0</v>
      </c>
    </row>
    <row r="80" spans="1:5" x14ac:dyDescent="0.25">
      <c r="A80" s="556" t="s">
        <v>1011</v>
      </c>
      <c r="B80" s="556" t="s">
        <v>1010</v>
      </c>
      <c r="C80" s="556">
        <v>3400</v>
      </c>
      <c r="D80" s="556">
        <v>6100</v>
      </c>
      <c r="E80" s="557">
        <f>SUMIFS('Accounting data'!$G$2:$G$37003,'Accounting data'!$H$2:$H$37003,"9999*",'Accounting data'!$J$2:$J$37003,"34*",'Accounting data'!$K$2:$K$37003,"61*")</f>
        <v>0</v>
      </c>
    </row>
    <row r="81" spans="1:5" x14ac:dyDescent="0.25">
      <c r="A81" s="556" t="s">
        <v>1010</v>
      </c>
      <c r="B81" s="556" t="s">
        <v>1012</v>
      </c>
      <c r="C81" s="556">
        <v>3400</v>
      </c>
      <c r="D81" s="556">
        <v>6100</v>
      </c>
      <c r="E81" s="557">
        <f>SUMIFS('Accounting data'!$G$2:$G$37003,'Accounting data'!$I$2:$I$37003,"7*",'Accounting data'!$J$2:$J$37003,"34*",'Accounting data'!$K$2:$K$37003,"61*")+SUMIFS('Accounting data'!$G$2:$G$37003,'Accounting data'!$I$2:$I$37003,"8*",'Accounting data'!$J$2:$J$37003,"34*",'Accounting data'!$K$2:$K$37003,"61*")+SUMIFS('Accounting data'!$G$2:$G$37003,'Accounting data'!$I$2:$I$37003,"9*",'Accounting data'!$J$2:$J$37003,"34*",'Accounting data'!$K$2:$K$37003,"61*")</f>
        <v>0</v>
      </c>
    </row>
    <row r="82" spans="1:5" x14ac:dyDescent="0.25">
      <c r="A82" s="558" t="s">
        <v>1011</v>
      </c>
      <c r="B82" s="556" t="s">
        <v>1012</v>
      </c>
      <c r="C82" s="556">
        <v>3400</v>
      </c>
      <c r="D82" s="556">
        <v>6100</v>
      </c>
      <c r="E82" s="557">
        <f>SUMIFS('Accounting data'!$G$2:$G$37003,'Accounting data'!$H$2:$H$37003,"9999*",'Accounting data'!$I$2:$I$37003,"7*",'Accounting data'!$J$2:$J$37003,"34*",'Accounting data'!$K$2:$K$37003,"61*")+SUMIFS('Accounting data'!$G$2:$G$37003,'Accounting data'!$H$2:$H$37003,"9999*",'Accounting data'!$I$2:$I$37003,"8*",'Accounting data'!$J$2:$J$37003,"34*",'Accounting data'!$K$2:$K$37003,"61*")+SUMIFS('Accounting data'!$G$2:$G$37003,'Accounting data'!$H$2:$H$37003,"9999*",'Accounting data'!$I$2:$I$37003,"9*",'Accounting data'!$J$2:$J$37003,"34*",'Accounting data'!$K$2:$K$37003,"61*")</f>
        <v>0</v>
      </c>
    </row>
    <row r="83" spans="1:5" x14ac:dyDescent="0.25">
      <c r="A83" s="556"/>
      <c r="B83" s="556"/>
      <c r="C83" s="556"/>
      <c r="D83" s="556"/>
      <c r="E83" s="557"/>
    </row>
    <row r="84" spans="1:5" x14ac:dyDescent="0.25">
      <c r="A84" s="556"/>
      <c r="B84" s="556"/>
      <c r="C84" s="556"/>
      <c r="D84" s="556"/>
      <c r="E84" s="557"/>
    </row>
    <row r="85" spans="1:5" ht="14.4" x14ac:dyDescent="0.3">
      <c r="A85" s="559" t="s">
        <v>1023</v>
      </c>
      <c r="B85" s="559"/>
      <c r="C85" s="559"/>
      <c r="D85" s="559"/>
      <c r="E85" s="560">
        <f>(E79-E80-E81)+(E82+E83+E84)</f>
        <v>0</v>
      </c>
    </row>
    <row r="86" spans="1:5" x14ac:dyDescent="0.25">
      <c r="A86" s="556" t="s">
        <v>1010</v>
      </c>
      <c r="B86" s="556" t="s">
        <v>1010</v>
      </c>
      <c r="C86" s="556">
        <v>4000</v>
      </c>
      <c r="D86" s="556">
        <v>6100</v>
      </c>
      <c r="E86" s="557">
        <f>SUMIFS('Accounting data'!$G$2:$G$37003,'Accounting data'!$J$2:$J$37003,"4*",'Accounting data'!$K$2:$K$37003,"61*")</f>
        <v>0</v>
      </c>
    </row>
    <row r="87" spans="1:5" x14ac:dyDescent="0.25">
      <c r="A87" s="556" t="s">
        <v>1011</v>
      </c>
      <c r="B87" s="556" t="s">
        <v>1010</v>
      </c>
      <c r="C87" s="556">
        <v>4000</v>
      </c>
      <c r="D87" s="556">
        <v>6100</v>
      </c>
      <c r="E87" s="557">
        <f>SUMIFS('Accounting data'!$G$2:$G$37003,'Accounting data'!$H$2:$H$37003,"9999*",'Accounting data'!$J$2:$J$37003,"4*",'Accounting data'!$K$2:$K$37003,"61*")</f>
        <v>0</v>
      </c>
    </row>
    <row r="88" spans="1:5" x14ac:dyDescent="0.25">
      <c r="A88" s="556" t="s">
        <v>1010</v>
      </c>
      <c r="B88" s="556" t="s">
        <v>1012</v>
      </c>
      <c r="C88" s="556">
        <v>4000</v>
      </c>
      <c r="D88" s="556">
        <v>6100</v>
      </c>
      <c r="E88" s="557">
        <f>SUMIFS('Accounting data'!$G$2:$G$37003,'Accounting data'!$I$2:$I$37003,"7*",'Accounting data'!$J$2:$J$37003,"4*",'Accounting data'!$K$2:$K$37003,"61*")+SUMIFS('Accounting data'!$G$2:$G$37003,'Accounting data'!$I$2:$I$37003,"8*",'Accounting data'!$J$2:$J$37003,"4*",'Accounting data'!$K$2:$K$37003,"61*")+SUMIFS('Accounting data'!$G$2:$G$37003,'Accounting data'!$I$2:$I$37003,"9*",'Accounting data'!$J$2:$J$37003,"4*",'Accounting data'!$K$2:$K$37003,"61*")</f>
        <v>0</v>
      </c>
    </row>
    <row r="89" spans="1:5" x14ac:dyDescent="0.25">
      <c r="A89" s="558" t="s">
        <v>1011</v>
      </c>
      <c r="B89" s="556" t="s">
        <v>1012</v>
      </c>
      <c r="C89" s="556">
        <v>4000</v>
      </c>
      <c r="D89" s="556">
        <v>6100</v>
      </c>
      <c r="E89" s="557">
        <f>SUMIFS('Accounting data'!$G$2:$G$37003,'Accounting data'!$H$2:$H$37003,"9999*",'Accounting data'!$I$2:$I$37003,"7*",'Accounting data'!$J$2:$J$37003,"4*",'Accounting data'!$K$2:$K$37003,"61*")+SUMIFS('Accounting data'!$G$2:$G$37003,'Accounting data'!$H$2:$H$37003,"9999*",'Accounting data'!$I$2:$I$37003,"8*",'Accounting data'!$J$2:$J$37003,"4*",'Accounting data'!$K$2:$K$37003,"61*")+SUMIFS('Accounting data'!$G$2:$G$37003,'Accounting data'!$H$2:$H$37003,"9999*",'Accounting data'!$I$2:$I$37003,"9*",'Accounting data'!$J$2:$J$37003,"4*",'Accounting data'!$K$2:$K$37003,"61*")</f>
        <v>0</v>
      </c>
    </row>
    <row r="90" spans="1:5" x14ac:dyDescent="0.25">
      <c r="A90" s="556"/>
      <c r="B90" s="556"/>
      <c r="C90" s="556"/>
      <c r="D90" s="556"/>
      <c r="E90" s="557"/>
    </row>
    <row r="91" spans="1:5" x14ac:dyDescent="0.25">
      <c r="A91" s="556"/>
      <c r="B91" s="556"/>
      <c r="C91" s="556"/>
      <c r="D91" s="556"/>
      <c r="E91" s="557"/>
    </row>
    <row r="92" spans="1:5" ht="14.4" x14ac:dyDescent="0.3">
      <c r="A92" s="559" t="s">
        <v>1024</v>
      </c>
      <c r="B92" s="559"/>
      <c r="C92" s="559"/>
      <c r="D92" s="559"/>
      <c r="E92" s="560">
        <f>(E86-E87-E88)+(E89+E90+E91)</f>
        <v>0</v>
      </c>
    </row>
    <row r="93" spans="1:5" ht="14.4" x14ac:dyDescent="0.3">
      <c r="A93" s="562" t="s">
        <v>1025</v>
      </c>
      <c r="B93" s="562"/>
      <c r="C93" s="562"/>
      <c r="D93" s="562"/>
      <c r="E93" s="563">
        <f>E8+E15+E22+E29+E36+E43+E50+E57+E64+E71+E78+E85</f>
        <v>29323</v>
      </c>
    </row>
    <row r="94" spans="1:5" x14ac:dyDescent="0.25">
      <c r="A94" s="556" t="s">
        <v>1026</v>
      </c>
      <c r="B94" s="556" t="s">
        <v>1010</v>
      </c>
      <c r="C94" s="556">
        <v>1000</v>
      </c>
      <c r="D94" s="556">
        <v>6100</v>
      </c>
      <c r="E94" s="557">
        <f>SUMIFS('Accounting data'!$G$2:$G$37003,'Accounting data'!$H$2:$H$37003,"11*",'Accounting data'!$J$2:$J$37003,"1*",'Accounting data'!$K$2:$K$37003,"61*")+SUMIFS('Accounting data'!$G$2:$G$37003,'Accounting data'!$H$2:$H$37003,"12*",'Accounting data'!$J$2:$J$37003,"1*",'Accounting data'!$K$2:$K$37003,"61*")+SUMIFS('Accounting data'!$G$2:$G$37003,'Accounting data'!$H$2:$H$37003,"13*",'Accounting data'!$J$2:$J$37003,"1*",'Accounting data'!$K$2:$K$37003,"61*")</f>
        <v>0</v>
      </c>
    </row>
    <row r="95" spans="1:5" x14ac:dyDescent="0.25">
      <c r="A95" s="556" t="s">
        <v>1026</v>
      </c>
      <c r="B95" s="556" t="s">
        <v>1010</v>
      </c>
      <c r="C95" s="556">
        <v>2000</v>
      </c>
      <c r="D95" s="556">
        <v>6100</v>
      </c>
      <c r="E95" s="557">
        <f>SUMIFS('Accounting data'!$G$2:$G$37003,'Accounting data'!$H$2:$H$37003,"11*",'Accounting data'!$J$2:$J$37003,"2*",'Accounting data'!$K$2:$K$37003,"61*")+SUMIFS('Accounting data'!$G$2:$G$37003,'Accounting data'!$H$2:$H$37003,"12*",'Accounting data'!$J$2:$J$37003,"2*",'Accounting data'!$K$2:$K$37003,"61*")+SUMIFS('Accounting data'!$G$2:$G$37003,'Accounting data'!$H$2:$H$37003,"13*",'Accounting data'!$J$2:$J$37003,"2*",'Accounting data'!$K$2:$K$37003,"61*")</f>
        <v>0</v>
      </c>
    </row>
    <row r="96" spans="1:5" x14ac:dyDescent="0.25">
      <c r="A96" s="556" t="s">
        <v>1026</v>
      </c>
      <c r="B96" s="556" t="s">
        <v>1010</v>
      </c>
      <c r="C96" s="556">
        <v>3000</v>
      </c>
      <c r="D96" s="556">
        <v>6100</v>
      </c>
      <c r="E96" s="557">
        <f>SUMIFS('Accounting data'!$G$2:$G$37003,'Accounting data'!$H$2:$H$37003,"11*",'Accounting data'!$J$2:$J$37003,"3*",'Accounting data'!$K$2:$K$37003,"61*")+SUMIFS('Accounting data'!$G$2:$G$37003,'Accounting data'!$H$2:$H$37003,"12*",'Accounting data'!$J$2:$J$37003,"3*",'Accounting data'!$K$2:$K$37003,"61*")+SUMIFS('Accounting data'!$G$2:$G$37003,'Accounting data'!$H$2:$H$37003,"13*",'Accounting data'!$J$2:$J$37003,"3*",'Accounting data'!$K$2:$K$37003,"61*")</f>
        <v>0</v>
      </c>
    </row>
    <row r="97" spans="1:5" x14ac:dyDescent="0.25">
      <c r="A97" s="556" t="s">
        <v>1026</v>
      </c>
      <c r="B97" s="558">
        <v>700</v>
      </c>
      <c r="C97" s="556">
        <v>1000</v>
      </c>
      <c r="D97" s="556">
        <v>6100</v>
      </c>
      <c r="E97" s="557">
        <f>SUMIFS('Accounting data'!$G$2:$G$37003,'Accounting data'!$H$2:$H$37003,"11*",'Accounting data'!$I$2:$I$37003,"7*",'Accounting data'!$J$2:$J$37003,"1*",'Accounting data'!$K$2:$K$37003,"61*")+SUMIFS('Accounting data'!$G$2:$G$37003,'Accounting data'!$H$2:$H$37003,"12*",'Accounting data'!$I$2:$I$37003,"7*",'Accounting data'!$J$2:$J$37003,"1*",'Accounting data'!$K$2:$K$37003,"61*")+SUMIFS('Accounting data'!$G$2:$G$37003,'Accounting data'!$H$2:$H$37003,"13*",'Accounting data'!$I$2:$I$37003,"7*",'Accounting data'!$J$2:$J$37003,"1*",'Accounting data'!$K$2:$K$37003,"61*")</f>
        <v>0</v>
      </c>
    </row>
    <row r="98" spans="1:5" x14ac:dyDescent="0.25">
      <c r="A98" s="556" t="s">
        <v>1026</v>
      </c>
      <c r="B98" s="558">
        <v>800</v>
      </c>
      <c r="C98" s="556">
        <v>1000</v>
      </c>
      <c r="D98" s="556">
        <v>6100</v>
      </c>
      <c r="E98" s="557">
        <f>SUMIFS('Accounting data'!$G$2:$G$37003,'Accounting data'!$H$2:$H$37003,"11*",'Accounting data'!$I$2:$I$37003,"8*",'Accounting data'!$J$2:$J$37003,"1*",'Accounting data'!$K$2:$K$37003,"61*")+SUMIFS('Accounting data'!$G$2:$G$37003,'Accounting data'!$H$2:$H$37003,"12*",'Accounting data'!$I$2:$I$37003,"8*",'Accounting data'!$J$2:$J$37003,"1*",'Accounting data'!$K$2:$K$37003,"61*")+SUMIFS('Accounting data'!$G$2:$G$37003,'Accounting data'!$H$2:$H$37003,"13*",'Accounting data'!$I$2:$I$37003,"8*",'Accounting data'!$J$2:$J$37003,"1*",'Accounting data'!$K$2:$K$37003,"61*")</f>
        <v>0</v>
      </c>
    </row>
    <row r="99" spans="1:5" x14ac:dyDescent="0.25">
      <c r="A99" s="556" t="s">
        <v>1026</v>
      </c>
      <c r="B99" s="558">
        <v>900</v>
      </c>
      <c r="C99" s="556">
        <v>1000</v>
      </c>
      <c r="D99" s="556">
        <v>6100</v>
      </c>
      <c r="E99" s="557">
        <f>SUMIFS('Accounting data'!$G$2:$G$37003,'Accounting data'!$H$2:$H$37003,"11*",'Accounting data'!$I$2:$I$37003,"9*",'Accounting data'!$J$2:$J$37003,"1*",'Accounting data'!$K$2:$K$37003,"61*")+SUMIFS('Accounting data'!$G$2:$G$37003,'Accounting data'!$H$2:$H$37003,"12*",'Accounting data'!$I$2:$I$37003,"9*",'Accounting data'!$J$2:$J$37003,"1*",'Accounting data'!$K$2:$K$37003,"61*")+SUMIFS('Accounting data'!$G$2:$G$37003,'Accounting data'!$H$2:$H$37003,"13*",'Accounting data'!$I$2:$I$37003,"9*",'Accounting data'!$J$2:$J$37003,"1*",'Accounting data'!$K$2:$K$37003,"61*")</f>
        <v>0</v>
      </c>
    </row>
    <row r="100" spans="1:5" x14ac:dyDescent="0.25">
      <c r="A100" s="556" t="s">
        <v>1026</v>
      </c>
      <c r="B100" s="558">
        <v>700</v>
      </c>
      <c r="C100" s="556">
        <v>2000</v>
      </c>
      <c r="D100" s="556">
        <v>6100</v>
      </c>
      <c r="E100" s="557">
        <f>SUMIFS('Accounting data'!$G$2:$G$37003,'Accounting data'!$H$2:$H$37003,"11*",'Accounting data'!$I$2:$I$37003,"7*",'Accounting data'!$J$2:$J$37003,"2*",'Accounting data'!$K$2:$K$37003,"61*")+SUMIFS('Accounting data'!$G$2:$G$37003,'Accounting data'!$H$2:$H$37003,"12*",'Accounting data'!$I$2:$I$37003,"7*",'Accounting data'!$J$2:$J$37003,"2*",'Accounting data'!$K$2:$K$37003,"61*")+SUMIFS('Accounting data'!$G$2:$G$37003,'Accounting data'!$H$2:$H$37003,"13*",'Accounting data'!$I$2:$I$37003,"7*",'Accounting data'!$J$2:$J$37003,"2*",'Accounting data'!$K$2:$K$37003,"61*")</f>
        <v>0</v>
      </c>
    </row>
    <row r="101" spans="1:5" x14ac:dyDescent="0.25">
      <c r="A101" s="556" t="s">
        <v>1026</v>
      </c>
      <c r="B101" s="558">
        <v>800</v>
      </c>
      <c r="C101" s="556">
        <v>2000</v>
      </c>
      <c r="D101" s="556">
        <v>6100</v>
      </c>
      <c r="E101" s="557">
        <f>SUMIFS('Accounting data'!$G$2:$G$37003,'Accounting data'!$H$2:$H$37003,"11*",'Accounting data'!$I$2:$I$37003,"8*",'Accounting data'!$J$2:$J$37003,"2*",'Accounting data'!$K$2:$K$37003,"61*")+SUMIFS('Accounting data'!$G$2:$G$37003,'Accounting data'!$H$2:$H$37003,"12*",'Accounting data'!$I$2:$I$37003,"8*",'Accounting data'!$J$2:$J$37003,"2*",'Accounting data'!$K$2:$K$37003,"61*")+SUMIFS('Accounting data'!$G$2:$G$37003,'Accounting data'!$H$2:$H$37003,"13*",'Accounting data'!$I$2:$I$37003,"8*",'Accounting data'!$J$2:$J$37003,"2*",'Accounting data'!$K$2:$K$37003,"61*")</f>
        <v>0</v>
      </c>
    </row>
    <row r="102" spans="1:5" x14ac:dyDescent="0.25">
      <c r="A102" s="556" t="s">
        <v>1026</v>
      </c>
      <c r="B102" s="558">
        <v>900</v>
      </c>
      <c r="C102" s="556">
        <v>2000</v>
      </c>
      <c r="D102" s="556">
        <v>6100</v>
      </c>
      <c r="E102" s="557">
        <f>SUMIFS('Accounting data'!$G$2:$G$37003,'Accounting data'!$H$2:$H$37003,"11*",'Accounting data'!$I$2:$I$37003,"9*",'Accounting data'!$J$2:$J$37003,"2*",'Accounting data'!$K$2:$K$37003,"61*")+SUMIFS('Accounting data'!$G$2:$G$37003,'Accounting data'!$H$2:$H$37003,"12*",'Accounting data'!$I$2:$I$37003,"9*",'Accounting data'!$J$2:$J$37003,"2*",'Accounting data'!$K$2:$K$37003,"61*")+SUMIFS('Accounting data'!$G$2:$G$37003,'Accounting data'!$H$2:$H$37003,"13*",'Accounting data'!$I$2:$I$37003,"9*",'Accounting data'!$J$2:$J$37003,"2*",'Accounting data'!$K$2:$K$37003,"61*")</f>
        <v>0</v>
      </c>
    </row>
    <row r="103" spans="1:5" x14ac:dyDescent="0.25">
      <c r="A103" s="556" t="s">
        <v>1026</v>
      </c>
      <c r="B103" s="558">
        <v>700</v>
      </c>
      <c r="C103" s="556">
        <v>3000</v>
      </c>
      <c r="D103" s="556">
        <v>6100</v>
      </c>
      <c r="E103" s="557">
        <f>SUMIFS('Accounting data'!$G$2:$G$37003,'Accounting data'!$H$2:$H$37003,"11*",'Accounting data'!$I$2:$I$37003,"7*",'Accounting data'!$J$2:$J$37003,"3*",'Accounting data'!$K$2:$K$37003,"61*")+SUMIFS('Accounting data'!$G$2:$G$37003,'Accounting data'!$H$2:$H$37003,"12*",'Accounting data'!$I$2:$I$37003,"7*",'Accounting data'!$J$2:$J$37003,"3*",'Accounting data'!$K$2:$K$37003,"61*")+SUMIFS('Accounting data'!$G$2:$G$37003,'Accounting data'!$H$2:$H$37003,"13*",'Accounting data'!$I$2:$I$37003,"7*",'Accounting data'!$J$2:$J$37003,"3*",'Accounting data'!$K$2:$K$37003,"61*")</f>
        <v>0</v>
      </c>
    </row>
    <row r="104" spans="1:5" x14ac:dyDescent="0.25">
      <c r="A104" s="556" t="s">
        <v>1026</v>
      </c>
      <c r="B104" s="558">
        <v>800</v>
      </c>
      <c r="C104" s="556">
        <v>3000</v>
      </c>
      <c r="D104" s="556">
        <v>6100</v>
      </c>
      <c r="E104" s="557">
        <f>SUMIFS('Accounting data'!$G$2:$G$37003,'Accounting data'!$H$2:$H$37003,"11*",'Accounting data'!$I$2:$I$37003,"8*",'Accounting data'!$J$2:$J$37003,"3*",'Accounting data'!$K$2:$K$37003,"61*")+SUMIFS('Accounting data'!$G$2:$G$37003,'Accounting data'!$H$2:$H$37003,"12*",'Accounting data'!$I$2:$I$37003,"8*",'Accounting data'!$J$2:$J$37003,"3*",'Accounting data'!$K$2:$K$37003,"61*")+SUMIFS('Accounting data'!$G$2:$G$37003,'Accounting data'!$H$2:$H$37003,"13*",'Accounting data'!$I$2:$I$37003,"8*",'Accounting data'!$J$2:$J$37003,"3*",'Accounting data'!$K$2:$K$37003,"61*")</f>
        <v>0</v>
      </c>
    </row>
    <row r="105" spans="1:5" x14ac:dyDescent="0.25">
      <c r="A105" s="556" t="s">
        <v>1026</v>
      </c>
      <c r="B105" s="558">
        <v>900</v>
      </c>
      <c r="C105" s="556">
        <v>3000</v>
      </c>
      <c r="D105" s="556">
        <v>6100</v>
      </c>
      <c r="E105" s="557">
        <f>SUMIFS('Accounting data'!$G$2:$G$37003,'Accounting data'!$H$2:$H$37003,"11*",'Accounting data'!$I$2:$I$37003,"9*",'Accounting data'!$J$2:$J$37003,"3*",'Accounting data'!$K$2:$K$37003,"61*")+SUMIFS('Accounting data'!$G$2:$G$37003,'Accounting data'!$H$2:$H$37003,"12*",'Accounting data'!$I$2:$I$37003,"9*",'Accounting data'!$J$2:$J$37003,"3*",'Accounting data'!$K$2:$K$37003,"61*")+SUMIFS('Accounting data'!$G$2:$G$37003,'Accounting data'!$H$2:$H$37003,"13*",'Accounting data'!$I$2:$I$37003,"9*",'Accounting data'!$J$2:$J$37003,"3*",'Accounting data'!$K$2:$K$37003,"61*")</f>
        <v>0</v>
      </c>
    </row>
    <row r="106" spans="1:5" ht="14.4" x14ac:dyDescent="0.3">
      <c r="A106" s="559" t="s">
        <v>1027</v>
      </c>
      <c r="B106" s="559"/>
      <c r="C106" s="559"/>
      <c r="D106" s="559"/>
      <c r="E106" s="560">
        <f>(E94+E95+E96)-(E97+E98+E99+E100+E101+E102+E103+E104+E105)</f>
        <v>0</v>
      </c>
    </row>
    <row r="107" spans="1:5" x14ac:dyDescent="0.25">
      <c r="A107" s="556" t="s">
        <v>1010</v>
      </c>
      <c r="B107" s="556" t="s">
        <v>1010</v>
      </c>
      <c r="C107" s="556">
        <v>1000</v>
      </c>
      <c r="D107" s="556">
        <v>6200</v>
      </c>
      <c r="E107" s="557">
        <f>SUMIFS('Accounting data'!$G$2:$G$37003,'Accounting data'!$J$2:$J$37003,"1*",'Accounting data'!$K$2:$K$37003,"62*")</f>
        <v>10871</v>
      </c>
    </row>
    <row r="108" spans="1:5" x14ac:dyDescent="0.25">
      <c r="A108" s="556" t="s">
        <v>1011</v>
      </c>
      <c r="B108" s="556" t="s">
        <v>1010</v>
      </c>
      <c r="C108" s="556">
        <v>1000</v>
      </c>
      <c r="D108" s="556">
        <v>6200</v>
      </c>
      <c r="E108" s="557">
        <f>SUMIFS('Accounting data'!$G$2:$G$37003,'Accounting data'!$H$2:$H$37003,"9999*",'Accounting data'!$J$2:$J$37003,"1*",'Accounting data'!$K$2:$K$37003,"62*")</f>
        <v>0</v>
      </c>
    </row>
    <row r="109" spans="1:5" x14ac:dyDescent="0.25">
      <c r="A109" s="556" t="s">
        <v>1010</v>
      </c>
      <c r="B109" s="556" t="s">
        <v>1012</v>
      </c>
      <c r="C109" s="556">
        <v>1000</v>
      </c>
      <c r="D109" s="556">
        <v>6200</v>
      </c>
      <c r="E109" s="557">
        <f>SUMIFS('Accounting data'!$G$2:$G$37003,'Accounting data'!$I$2:$I$37003,"7*",'Accounting data'!$J$2:$J$37003,"1*",'Accounting data'!$K$2:$K$37003,"62*")+SUMIFS('Accounting data'!$G$2:$G$37003,'Accounting data'!$I$2:$I$37003,"8*",'Accounting data'!$J$2:$J$37003,"1*",'Accounting data'!$K$2:$K$37003,"62*")+SUMIFS('Accounting data'!$G$2:$G$37003,'Accounting data'!$I$2:$I$37003,"9*",'Accounting data'!$J$2:$J$37003,"1*",'Accounting data'!$K$2:$K$37003,"62*")</f>
        <v>0</v>
      </c>
    </row>
    <row r="110" spans="1:5" x14ac:dyDescent="0.25">
      <c r="A110" s="558" t="s">
        <v>1011</v>
      </c>
      <c r="B110" s="556" t="s">
        <v>1012</v>
      </c>
      <c r="C110" s="556">
        <v>1000</v>
      </c>
      <c r="D110" s="556">
        <v>6200</v>
      </c>
      <c r="E110" s="557">
        <f>SUMIFS('Accounting data'!$G$2:$G$37003,'Accounting data'!$H$2:$H$37003,"9999*",'Accounting data'!$I$2:$I$37003,"7*",'Accounting data'!$J$2:$J$37003,"1*",'Accounting data'!$K$2:$K$37003,"62*")+SUMIFS('Accounting data'!$G$2:$G$37003,'Accounting data'!$H$2:$H$37003,"9999*",'Accounting data'!$I$2:$I$37003,"8*",'Accounting data'!$J$2:$J$37003,"1*",'Accounting data'!$K$2:$K$37003,"62*")+SUMIFS('Accounting data'!$G$2:$G$37003,'Accounting data'!$H$2:$H$37003,"9999*",'Accounting data'!$I$2:$I$37003,"9*",'Accounting data'!$J$2:$J$37003,"1*",'Accounting data'!$K$2:$K$37003,"62*")</f>
        <v>0</v>
      </c>
    </row>
    <row r="111" spans="1:5" x14ac:dyDescent="0.25">
      <c r="A111" s="556"/>
      <c r="B111" s="556"/>
      <c r="C111" s="556"/>
      <c r="D111" s="556"/>
      <c r="E111" s="557"/>
    </row>
    <row r="112" spans="1:5" x14ac:dyDescent="0.25">
      <c r="A112" s="556"/>
      <c r="B112" s="556"/>
      <c r="C112" s="556"/>
      <c r="D112" s="556"/>
      <c r="E112" s="557"/>
    </row>
    <row r="113" spans="1:5" ht="14.4" x14ac:dyDescent="0.3">
      <c r="A113" s="559" t="s">
        <v>1028</v>
      </c>
      <c r="B113" s="559"/>
      <c r="C113" s="559"/>
      <c r="D113" s="559"/>
      <c r="E113" s="560">
        <f>(E107-E108-E109)+(E110+E111+E112)</f>
        <v>10871</v>
      </c>
    </row>
    <row r="114" spans="1:5" x14ac:dyDescent="0.25">
      <c r="A114" s="556" t="s">
        <v>1010</v>
      </c>
      <c r="B114" s="556" t="s">
        <v>1010</v>
      </c>
      <c r="C114" s="556">
        <v>2100</v>
      </c>
      <c r="D114" s="556">
        <v>6200</v>
      </c>
      <c r="E114" s="557">
        <f>SUMIFS('Accounting data'!$G$2:$G$37003,'Accounting data'!$J$2:$J$37003,"21*",'Accounting data'!$K$2:$K$37003,"62*")</f>
        <v>0</v>
      </c>
    </row>
    <row r="115" spans="1:5" x14ac:dyDescent="0.25">
      <c r="A115" s="556" t="s">
        <v>1011</v>
      </c>
      <c r="B115" s="556" t="s">
        <v>1010</v>
      </c>
      <c r="C115" s="556">
        <v>2100</v>
      </c>
      <c r="D115" s="556">
        <v>6200</v>
      </c>
      <c r="E115" s="557">
        <f>SUMIFS('Accounting data'!$G$2:$G$37003,'Accounting data'!$H$2:$H$37003,"9999*",'Accounting data'!$J$2:$J$37003,"21*",'Accounting data'!$K$2:$K$37003,"62*")</f>
        <v>0</v>
      </c>
    </row>
    <row r="116" spans="1:5" x14ac:dyDescent="0.25">
      <c r="A116" s="556" t="s">
        <v>1010</v>
      </c>
      <c r="B116" s="556" t="s">
        <v>1012</v>
      </c>
      <c r="C116" s="556">
        <v>2100</v>
      </c>
      <c r="D116" s="556">
        <v>6200</v>
      </c>
      <c r="E116" s="557">
        <f>SUMIFS('Accounting data'!$G$2:$G$37003,'Accounting data'!$I$2:$I$37003,"7*",'Accounting data'!$J$2:$J$37003,"21*",'Accounting data'!$K$2:$K$37003,"62*")+SUMIFS('Accounting data'!$G$2:$G$37003,'Accounting data'!$I$2:$I$37003,"8*",'Accounting data'!$J$2:$J$37003,"21*",'Accounting data'!$K$2:$K$37003,"62*")+SUMIFS('Accounting data'!$G$2:$G$37003,'Accounting data'!$I$2:$I$37003,"9*",'Accounting data'!$J$2:$J$37003,"21*",'Accounting data'!$K$2:$K$37003,"62*")</f>
        <v>0</v>
      </c>
    </row>
    <row r="117" spans="1:5" x14ac:dyDescent="0.25">
      <c r="A117" s="558" t="s">
        <v>1011</v>
      </c>
      <c r="B117" s="556" t="s">
        <v>1012</v>
      </c>
      <c r="C117" s="556">
        <v>2100</v>
      </c>
      <c r="D117" s="556">
        <v>6200</v>
      </c>
      <c r="E117" s="557">
        <f>SUMIFS('Accounting data'!$G$2:$G$37003,'Accounting data'!$H$2:$H$37003,"9999*",'Accounting data'!$I$2:$I$37003,"7*",'Accounting data'!$J$2:$J$37003,"21*",'Accounting data'!$K$2:$K$37003,"62*")+SUMIFS('Accounting data'!$G$2:$G$37003,'Accounting data'!$H$2:$H$37003,"9999*",'Accounting data'!$I$2:$I$37003,"8*",'Accounting data'!$J$2:$J$37003,"21*",'Accounting data'!$K$2:$K$37003,"62*")+SUMIFS('Accounting data'!$G$2:$G$37003,'Accounting data'!$H$2:$H$37003,"9999*",'Accounting data'!$I$2:$I$37003,"9*",'Accounting data'!$J$2:$J$37003,"21*",'Accounting data'!$K$2:$K$37003,"62*")</f>
        <v>0</v>
      </c>
    </row>
    <row r="118" spans="1:5" x14ac:dyDescent="0.25">
      <c r="A118" s="556"/>
      <c r="B118" s="556"/>
      <c r="C118" s="556"/>
      <c r="D118" s="556"/>
      <c r="E118" s="557"/>
    </row>
    <row r="119" spans="1:5" x14ac:dyDescent="0.25">
      <c r="A119" s="556"/>
      <c r="B119" s="556"/>
      <c r="C119" s="556"/>
      <c r="D119" s="556"/>
      <c r="E119" s="557"/>
    </row>
    <row r="120" spans="1:5" ht="14.4" x14ac:dyDescent="0.3">
      <c r="A120" s="559" t="s">
        <v>1029</v>
      </c>
      <c r="B120" s="559"/>
      <c r="C120" s="559"/>
      <c r="D120" s="559"/>
      <c r="E120" s="560">
        <f>(E114-E115-E116)+(E117+E118+E119)</f>
        <v>0</v>
      </c>
    </row>
    <row r="121" spans="1:5" x14ac:dyDescent="0.25">
      <c r="A121" s="556" t="s">
        <v>1010</v>
      </c>
      <c r="B121" s="556" t="s">
        <v>1010</v>
      </c>
      <c r="C121" s="556">
        <v>2200</v>
      </c>
      <c r="D121" s="556">
        <v>6200</v>
      </c>
      <c r="E121" s="557">
        <f>SUMIFS('Accounting data'!$G$2:$G$37003,'Accounting data'!$J$2:$J$37003,"22*",'Accounting data'!$K$2:$K$37003,"62*")</f>
        <v>0</v>
      </c>
    </row>
    <row r="122" spans="1:5" x14ac:dyDescent="0.25">
      <c r="A122" s="556" t="s">
        <v>1011</v>
      </c>
      <c r="B122" s="556" t="s">
        <v>1010</v>
      </c>
      <c r="C122" s="556">
        <v>2200</v>
      </c>
      <c r="D122" s="556">
        <v>6200</v>
      </c>
      <c r="E122" s="557">
        <f>SUMIFS('Accounting data'!$G$2:$G$37003,'Accounting data'!$H$2:$H$37003,"9999*",'Accounting data'!$J$2:$J$37003,"22*",'Accounting data'!$K$2:$K$37003,"62*")</f>
        <v>0</v>
      </c>
    </row>
    <row r="123" spans="1:5" x14ac:dyDescent="0.25">
      <c r="A123" s="556" t="s">
        <v>1010</v>
      </c>
      <c r="B123" s="556" t="s">
        <v>1012</v>
      </c>
      <c r="C123" s="556">
        <v>2200</v>
      </c>
      <c r="D123" s="556">
        <v>6200</v>
      </c>
      <c r="E123" s="557">
        <f>SUMIFS('Accounting data'!$G$2:$G$37003,'Accounting data'!$I$2:$I$37003,"7*",'Accounting data'!$J$2:$J$37003,"22*",'Accounting data'!$K$2:$K$37003,"62*")+SUMIFS('Accounting data'!$G$2:$G$37003,'Accounting data'!$I$2:$I$37003,"8*",'Accounting data'!$J$2:$J$37003,"22*",'Accounting data'!$K$2:$K$37003,"62*")+SUMIFS('Accounting data'!$G$2:$G$37003,'Accounting data'!$I$2:$I$37003,"9*",'Accounting data'!$J$2:$J$37003,"22*",'Accounting data'!$K$2:$K$37003,"62*")</f>
        <v>0</v>
      </c>
    </row>
    <row r="124" spans="1:5" x14ac:dyDescent="0.25">
      <c r="A124" s="558" t="s">
        <v>1011</v>
      </c>
      <c r="B124" s="556" t="s">
        <v>1012</v>
      </c>
      <c r="C124" s="556">
        <v>2200</v>
      </c>
      <c r="D124" s="556">
        <v>6200</v>
      </c>
      <c r="E124" s="557">
        <f>SUMIFS('Accounting data'!$G$2:$G$37003,'Accounting data'!$H$2:$H$37003,"9999*",'Accounting data'!$I$2:$I$37003,"7*",'Accounting data'!$J$2:$J$37003,"22*",'Accounting data'!$K$2:$K$37003,"62*")+SUMIFS('Accounting data'!$G$2:$G$37003,'Accounting data'!$H$2:$H$37003,"9999*",'Accounting data'!$I$2:$I$37003,"8*",'Accounting data'!$J$2:$J$37003,"22*",'Accounting data'!$K$2:$K$37003,"62*")+SUMIFS('Accounting data'!$G$2:$G$37003,'Accounting data'!$H$2:$H$37003,"9999*",'Accounting data'!$I$2:$I$37003,"9*",'Accounting data'!$J$2:$J$37003,"22*",'Accounting data'!$K$2:$K$37003,"62*")</f>
        <v>0</v>
      </c>
    </row>
    <row r="125" spans="1:5" x14ac:dyDescent="0.25">
      <c r="A125" s="556"/>
      <c r="B125" s="556"/>
      <c r="C125" s="556"/>
      <c r="D125" s="556"/>
      <c r="E125" s="557"/>
    </row>
    <row r="126" spans="1:5" x14ac:dyDescent="0.25">
      <c r="A126" s="556"/>
      <c r="B126" s="556"/>
      <c r="C126" s="556"/>
      <c r="D126" s="556"/>
      <c r="E126" s="557"/>
    </row>
    <row r="127" spans="1:5" ht="14.4" x14ac:dyDescent="0.3">
      <c r="A127" s="559" t="s">
        <v>1030</v>
      </c>
      <c r="B127" s="559"/>
      <c r="C127" s="559"/>
      <c r="D127" s="559"/>
      <c r="E127" s="560">
        <f>(E121-E122-E123)+(E124+E125+E126)</f>
        <v>0</v>
      </c>
    </row>
    <row r="128" spans="1:5" x14ac:dyDescent="0.25">
      <c r="A128" s="556" t="s">
        <v>1010</v>
      </c>
      <c r="B128" s="556" t="s">
        <v>1010</v>
      </c>
      <c r="C128" s="556">
        <v>2300</v>
      </c>
      <c r="D128" s="556">
        <v>6200</v>
      </c>
      <c r="E128" s="557">
        <f>SUMIFS('Accounting data'!$G$2:$G$37003,'Accounting data'!$J$2:$J$37003,"23*",'Accounting data'!$K$2:$K$37003,"62*")</f>
        <v>0</v>
      </c>
    </row>
    <row r="129" spans="1:5" x14ac:dyDescent="0.25">
      <c r="A129" s="556" t="s">
        <v>1011</v>
      </c>
      <c r="B129" s="556" t="s">
        <v>1010</v>
      </c>
      <c r="C129" s="556">
        <v>2300</v>
      </c>
      <c r="D129" s="556">
        <v>6200</v>
      </c>
      <c r="E129" s="557">
        <f>SUMIFS('Accounting data'!$G$2:$G$37003,'Accounting data'!$H$2:$H$37003,"9999*",'Accounting data'!$J$2:$J$37003,"23*",'Accounting data'!$K$2:$K$37003,"62*")</f>
        <v>0</v>
      </c>
    </row>
    <row r="130" spans="1:5" x14ac:dyDescent="0.25">
      <c r="A130" s="556" t="s">
        <v>1010</v>
      </c>
      <c r="B130" s="556" t="s">
        <v>1012</v>
      </c>
      <c r="C130" s="556">
        <v>2300</v>
      </c>
      <c r="D130" s="556">
        <v>6200</v>
      </c>
      <c r="E130" s="557">
        <f>SUMIFS('Accounting data'!$G$2:$G$37003,'Accounting data'!$I$2:$I$37003,"7*",'Accounting data'!$J$2:$J$37003,"23*",'Accounting data'!$K$2:$K$37003,"62*")+SUMIFS('Accounting data'!$G$2:$G$37003,'Accounting data'!$I$2:$I$37003,"8*",'Accounting data'!$J$2:$J$37003,"23*",'Accounting data'!$K$2:$K$37003,"62*")+SUMIFS('Accounting data'!$G$2:$G$37003,'Accounting data'!$I$2:$I$37003,"9*",'Accounting data'!$J$2:$J$37003,"23*",'Accounting data'!$K$2:$K$37003,"62*")</f>
        <v>0</v>
      </c>
    </row>
    <row r="131" spans="1:5" x14ac:dyDescent="0.25">
      <c r="A131" s="558" t="s">
        <v>1011</v>
      </c>
      <c r="B131" s="556" t="s">
        <v>1012</v>
      </c>
      <c r="C131" s="556">
        <v>2300</v>
      </c>
      <c r="D131" s="556">
        <v>6200</v>
      </c>
      <c r="E131" s="557">
        <f>SUMIFS('Accounting data'!$G$2:$G$37003,'Accounting data'!$H$2:$H$37003,"9999*",'Accounting data'!$I$2:$I$37003,"7*",'Accounting data'!$J$2:$J$37003,"23*",'Accounting data'!$K$2:$K$37003,"62*")+SUMIFS('Accounting data'!$G$2:$G$37003,'Accounting data'!$H$2:$H$37003,"9999*",'Accounting data'!$I$2:$I$37003,"8*",'Accounting data'!$J$2:$J$37003,"23*",'Accounting data'!$K$2:$K$37003,"62*")+SUMIFS('Accounting data'!$G$2:$G$37003,'Accounting data'!$H$2:$H$37003,"9999*",'Accounting data'!$I$2:$I$37003,"9*",'Accounting data'!$J$2:$J$37003,"23*",'Accounting data'!$K$2:$K$37003,"62*")</f>
        <v>0</v>
      </c>
    </row>
    <row r="132" spans="1:5" x14ac:dyDescent="0.25">
      <c r="A132" s="556"/>
      <c r="B132" s="556"/>
      <c r="C132" s="556"/>
      <c r="D132" s="556"/>
      <c r="E132" s="557"/>
    </row>
    <row r="133" spans="1:5" x14ac:dyDescent="0.25">
      <c r="A133" s="556"/>
      <c r="B133" s="556"/>
      <c r="C133" s="556"/>
      <c r="D133" s="556"/>
      <c r="E133" s="557"/>
    </row>
    <row r="134" spans="1:5" ht="14.4" x14ac:dyDescent="0.3">
      <c r="A134" s="559" t="s">
        <v>1031</v>
      </c>
      <c r="B134" s="559"/>
      <c r="C134" s="559"/>
      <c r="D134" s="559"/>
      <c r="E134" s="560">
        <f>(E128-E129-E130)+(E131+E132+E133)</f>
        <v>0</v>
      </c>
    </row>
    <row r="135" spans="1:5" x14ac:dyDescent="0.25">
      <c r="A135" s="556" t="s">
        <v>1010</v>
      </c>
      <c r="B135" s="556" t="s">
        <v>1010</v>
      </c>
      <c r="C135" s="556">
        <v>2400</v>
      </c>
      <c r="D135" s="556">
        <v>6200</v>
      </c>
      <c r="E135" s="557">
        <f>SUMIFS('Accounting data'!$G$2:$G$37003,'Accounting data'!$J$2:$J$37003,"24*",'Accounting data'!$K$2:$K$37003,"62*")</f>
        <v>0</v>
      </c>
    </row>
    <row r="136" spans="1:5" x14ac:dyDescent="0.25">
      <c r="A136" s="556" t="s">
        <v>1011</v>
      </c>
      <c r="B136" s="556" t="s">
        <v>1010</v>
      </c>
      <c r="C136" s="556">
        <v>2400</v>
      </c>
      <c r="D136" s="556">
        <v>6200</v>
      </c>
      <c r="E136" s="557">
        <f>SUMIFS('Accounting data'!$G$2:$G$37003,'Accounting data'!$H$2:$H$37003,"9999*",'Accounting data'!$J$2:$J$37003,"24*",'Accounting data'!$K$2:$K$37003,"62*")</f>
        <v>0</v>
      </c>
    </row>
    <row r="137" spans="1:5" x14ac:dyDescent="0.25">
      <c r="A137" s="556" t="s">
        <v>1010</v>
      </c>
      <c r="B137" s="556" t="s">
        <v>1012</v>
      </c>
      <c r="C137" s="556">
        <v>2400</v>
      </c>
      <c r="D137" s="556">
        <v>6200</v>
      </c>
      <c r="E137" s="557">
        <f>SUMIFS('Accounting data'!$G$2:$G$37003,'Accounting data'!$I$2:$I$37003,"7*",'Accounting data'!$J$2:$J$37003,"24*",'Accounting data'!$K$2:$K$37003,"62*")+SUMIFS('Accounting data'!$G$2:$G$37003,'Accounting data'!$I$2:$I$37003,"8*",'Accounting data'!$J$2:$J$37003,"24*",'Accounting data'!$K$2:$K$37003,"62*")+SUMIFS('Accounting data'!$G$2:$G$37003,'Accounting data'!$I$2:$I$37003,"9*",'Accounting data'!$J$2:$J$37003,"24*",'Accounting data'!$K$2:$K$37003,"62*")</f>
        <v>0</v>
      </c>
    </row>
    <row r="138" spans="1:5" x14ac:dyDescent="0.25">
      <c r="A138" s="558" t="s">
        <v>1011</v>
      </c>
      <c r="B138" s="556" t="s">
        <v>1012</v>
      </c>
      <c r="C138" s="556">
        <v>2400</v>
      </c>
      <c r="D138" s="556">
        <v>6200</v>
      </c>
      <c r="E138" s="557">
        <f>SUMIFS('Accounting data'!$G$2:$G$37003,'Accounting data'!$H$2:$H$37003,"9999*",'Accounting data'!$I$2:$I$37003,"7*",'Accounting data'!$J$2:$J$37003,"24*",'Accounting data'!$K$2:$K$37003,"62*")+SUMIFS('Accounting data'!$G$2:$G$37003,'Accounting data'!$H$2:$H$37003,"9999*",'Accounting data'!$I$2:$I$37003,"8*",'Accounting data'!$J$2:$J$37003,"24*",'Accounting data'!$K$2:$K$37003,"62*")+SUMIFS('Accounting data'!$G$2:$G$37003,'Accounting data'!$H$2:$H$37003,"9999*",'Accounting data'!$I$2:$I$37003,"9*",'Accounting data'!$J$2:$J$37003,"24*",'Accounting data'!$K$2:$K$37003,"62*")</f>
        <v>0</v>
      </c>
    </row>
    <row r="139" spans="1:5" x14ac:dyDescent="0.25">
      <c r="A139" s="556"/>
      <c r="B139" s="556"/>
      <c r="C139" s="556"/>
      <c r="D139" s="556"/>
      <c r="E139" s="557"/>
    </row>
    <row r="140" spans="1:5" x14ac:dyDescent="0.25">
      <c r="A140" s="556"/>
      <c r="B140" s="556"/>
      <c r="C140" s="556"/>
      <c r="D140" s="556"/>
      <c r="E140" s="557"/>
    </row>
    <row r="141" spans="1:5" ht="14.4" x14ac:dyDescent="0.3">
      <c r="A141" s="559" t="s">
        <v>1032</v>
      </c>
      <c r="B141" s="559"/>
      <c r="C141" s="559"/>
      <c r="D141" s="559"/>
      <c r="E141" s="560">
        <f>(E135-E136-E137)+(E138+E139+E140)</f>
        <v>0</v>
      </c>
    </row>
    <row r="142" spans="1:5" x14ac:dyDescent="0.25">
      <c r="A142" s="556" t="s">
        <v>1010</v>
      </c>
      <c r="B142" s="556" t="s">
        <v>1010</v>
      </c>
      <c r="C142" s="556">
        <v>2500</v>
      </c>
      <c r="D142" s="556">
        <v>6200</v>
      </c>
      <c r="E142" s="557">
        <f>SUMIFS('Accounting data'!$G$2:$G$37003,'Accounting data'!$J$2:$J$37003,"25*",'Accounting data'!$K$2:$K$37003,"62*")</f>
        <v>0</v>
      </c>
    </row>
    <row r="143" spans="1:5" x14ac:dyDescent="0.25">
      <c r="A143" s="556" t="s">
        <v>1011</v>
      </c>
      <c r="B143" s="556" t="s">
        <v>1010</v>
      </c>
      <c r="C143" s="556">
        <v>2500</v>
      </c>
      <c r="D143" s="556">
        <v>6200</v>
      </c>
      <c r="E143" s="557">
        <f>SUMIFS('Accounting data'!$G$2:$G$37003,'Accounting data'!$H$2:$H$37003,"9999*",'Accounting data'!$J$2:$J$37003,"25*",'Accounting data'!$K$2:$K$37003,"62*")</f>
        <v>0</v>
      </c>
    </row>
    <row r="144" spans="1:5" x14ac:dyDescent="0.25">
      <c r="A144" s="556" t="s">
        <v>1010</v>
      </c>
      <c r="B144" s="556" t="s">
        <v>1012</v>
      </c>
      <c r="C144" s="556">
        <v>2500</v>
      </c>
      <c r="D144" s="556">
        <v>6200</v>
      </c>
      <c r="E144" s="557">
        <f>SUMIFS('Accounting data'!$G$2:$G$37003,'Accounting data'!$I$2:$I$37003,"7*",'Accounting data'!$J$2:$J$37003,"25*",'Accounting data'!$K$2:$K$37003,"62*")+SUMIFS('Accounting data'!$G$2:$G$37003,'Accounting data'!$I$2:$I$37003,"8*",'Accounting data'!$J$2:$J$37003,"25*",'Accounting data'!$K$2:$K$37003,"62*")+SUMIFS('Accounting data'!$G$2:$G$37003,'Accounting data'!$I$2:$I$37003,"9*",'Accounting data'!$J$2:$J$37003,"25*",'Accounting data'!$K$2:$K$37003,"62*")</f>
        <v>0</v>
      </c>
    </row>
    <row r="145" spans="1:5" x14ac:dyDescent="0.25">
      <c r="A145" s="558" t="s">
        <v>1011</v>
      </c>
      <c r="B145" s="556" t="s">
        <v>1012</v>
      </c>
      <c r="C145" s="556">
        <v>2500</v>
      </c>
      <c r="D145" s="556">
        <v>6200</v>
      </c>
      <c r="E145" s="557">
        <f>SUMIFS('Accounting data'!$G$2:$G$37003,'Accounting data'!$H$2:$H$37003,"9999*",'Accounting data'!$I$2:$I$37003,"7*",'Accounting data'!$J$2:$J$37003,"25*",'Accounting data'!$K$2:$K$37003,"62*")+SUMIFS('Accounting data'!$G$2:$G$37003,'Accounting data'!$H$2:$H$37003,"9999*",'Accounting data'!$I$2:$I$37003,"8*",'Accounting data'!$J$2:$J$37003,"25*",'Accounting data'!$K$2:$K$37003,"62*")+SUMIFS('Accounting data'!$G$2:$G$37003,'Accounting data'!$H$2:$H$37003,"9999*",'Accounting data'!$I$2:$I$37003,"9*",'Accounting data'!$J$2:$J$37003,"25*",'Accounting data'!$K$2:$K$37003,"62*")</f>
        <v>0</v>
      </c>
    </row>
    <row r="146" spans="1:5" x14ac:dyDescent="0.25">
      <c r="A146" s="556"/>
      <c r="B146" s="556"/>
      <c r="C146" s="556"/>
      <c r="D146" s="556"/>
      <c r="E146" s="557"/>
    </row>
    <row r="147" spans="1:5" x14ac:dyDescent="0.25">
      <c r="A147" s="556"/>
      <c r="B147" s="556"/>
      <c r="C147" s="556"/>
      <c r="D147" s="556"/>
      <c r="E147" s="557"/>
    </row>
    <row r="148" spans="1:5" ht="14.4" x14ac:dyDescent="0.3">
      <c r="A148" s="559" t="s">
        <v>1033</v>
      </c>
      <c r="B148" s="559"/>
      <c r="C148" s="559"/>
      <c r="D148" s="559"/>
      <c r="E148" s="560">
        <f>(E142-E143-E144)+(E145+E146+E147)</f>
        <v>0</v>
      </c>
    </row>
    <row r="149" spans="1:5" x14ac:dyDescent="0.25">
      <c r="A149" s="556" t="s">
        <v>1010</v>
      </c>
      <c r="B149" s="556" t="s">
        <v>1010</v>
      </c>
      <c r="C149" s="556">
        <v>2900</v>
      </c>
      <c r="D149" s="556">
        <v>6200</v>
      </c>
      <c r="E149" s="557">
        <f>SUMIFS('Accounting data'!$G$2:$G$37003,'Accounting data'!$J$2:$J$37003,"29*",'Accounting data'!$K$2:$K$37003,"62*")</f>
        <v>0</v>
      </c>
    </row>
    <row r="150" spans="1:5" x14ac:dyDescent="0.25">
      <c r="A150" s="556" t="s">
        <v>1011</v>
      </c>
      <c r="B150" s="556" t="s">
        <v>1010</v>
      </c>
      <c r="C150" s="556">
        <v>2900</v>
      </c>
      <c r="D150" s="556">
        <v>6200</v>
      </c>
      <c r="E150" s="557">
        <f>SUMIFS('Accounting data'!$G$2:$G$37003,'Accounting data'!$H$2:$H$37003,"9999*",'Accounting data'!$J$2:$J$37003,"29*",'Accounting data'!$K$2:$K$37003,"62*")</f>
        <v>0</v>
      </c>
    </row>
    <row r="151" spans="1:5" x14ac:dyDescent="0.25">
      <c r="A151" s="556" t="s">
        <v>1010</v>
      </c>
      <c r="B151" s="556" t="s">
        <v>1012</v>
      </c>
      <c r="C151" s="556">
        <v>2900</v>
      </c>
      <c r="D151" s="556">
        <v>6200</v>
      </c>
      <c r="E151" s="557">
        <f>SUMIFS('Accounting data'!$G$2:$G$37003,'Accounting data'!$I$2:$I$37003,"7*",'Accounting data'!$J$2:$J$37003,"29*",'Accounting data'!$K$2:$K$37003,"62*")+SUMIFS('Accounting data'!$G$2:$G$37003,'Accounting data'!$I$2:$I$37003,"8*",'Accounting data'!$J$2:$J$37003,"29*",'Accounting data'!$K$2:$K$37003,"62*")+SUMIFS('Accounting data'!$G$2:$G$37003,'Accounting data'!$I$2:$I$37003,"9*",'Accounting data'!$J$2:$J$37003,"29*",'Accounting data'!$K$2:$K$37003,"62*")</f>
        <v>0</v>
      </c>
    </row>
    <row r="152" spans="1:5" x14ac:dyDescent="0.25">
      <c r="A152" s="558" t="s">
        <v>1011</v>
      </c>
      <c r="B152" s="556" t="s">
        <v>1012</v>
      </c>
      <c r="C152" s="556">
        <v>2900</v>
      </c>
      <c r="D152" s="556">
        <v>6200</v>
      </c>
      <c r="E152" s="557">
        <f>SUMIFS('Accounting data'!$G$2:$G$37003,'Accounting data'!$H$2:$H$37003,"9999*",'Accounting data'!$I$2:$I$37003,"7*",'Accounting data'!$J$2:$J$37003,"29*",'Accounting data'!$K$2:$K$37003,"62*")+SUMIFS('Accounting data'!$G$2:$G$37003,'Accounting data'!$H$2:$H$37003,"9999*",'Accounting data'!$I$2:$I$37003,"8*",'Accounting data'!$J$2:$J$37003,"29*",'Accounting data'!$K$2:$K$37003,"62*")+SUMIFS('Accounting data'!$G$2:$G$37003,'Accounting data'!$H$2:$H$37003,"9999*",'Accounting data'!$I$2:$I$37003,"9*",'Accounting data'!$J$2:$J$37003,"29*",'Accounting data'!$K$2:$K$37003,"62*")</f>
        <v>0</v>
      </c>
    </row>
    <row r="153" spans="1:5" x14ac:dyDescent="0.25">
      <c r="A153" s="556"/>
      <c r="B153" s="556"/>
      <c r="C153" s="556"/>
      <c r="D153" s="556"/>
      <c r="E153" s="557"/>
    </row>
    <row r="154" spans="1:5" x14ac:dyDescent="0.25">
      <c r="A154" s="556"/>
      <c r="B154" s="556"/>
      <c r="C154" s="556"/>
      <c r="D154" s="556"/>
      <c r="E154" s="557"/>
    </row>
    <row r="155" spans="1:5" ht="14.4" x14ac:dyDescent="0.3">
      <c r="A155" s="559" t="s">
        <v>1034</v>
      </c>
      <c r="B155" s="559"/>
      <c r="C155" s="559"/>
      <c r="D155" s="559"/>
      <c r="E155" s="560">
        <f>(E149-E150-E151)+(E152+E153+E154)</f>
        <v>0</v>
      </c>
    </row>
    <row r="156" spans="1:5" x14ac:dyDescent="0.25">
      <c r="A156" s="556" t="s">
        <v>1010</v>
      </c>
      <c r="B156" s="556" t="s">
        <v>1010</v>
      </c>
      <c r="C156" s="556">
        <v>2600</v>
      </c>
      <c r="D156" s="556">
        <v>6200</v>
      </c>
      <c r="E156" s="557">
        <f>SUMIFS('Accounting data'!$G$2:$G$37003,'Accounting data'!$J$2:$J$37003,"26*",'Accounting data'!$K$2:$K$37003,"62*")</f>
        <v>0</v>
      </c>
    </row>
    <row r="157" spans="1:5" x14ac:dyDescent="0.25">
      <c r="A157" s="556" t="s">
        <v>1011</v>
      </c>
      <c r="B157" s="556" t="s">
        <v>1010</v>
      </c>
      <c r="C157" s="556">
        <v>2600</v>
      </c>
      <c r="D157" s="556">
        <v>6200</v>
      </c>
      <c r="E157" s="557">
        <f>SUMIFS('Accounting data'!$G$2:$G$37003,'Accounting data'!$H$2:$H$37003,"9999*",'Accounting data'!$J$2:$J$37003,"26*",'Accounting data'!$K$2:$K$37003,"62*")</f>
        <v>0</v>
      </c>
    </row>
    <row r="158" spans="1:5" x14ac:dyDescent="0.25">
      <c r="A158" s="556" t="s">
        <v>1010</v>
      </c>
      <c r="B158" s="556" t="s">
        <v>1012</v>
      </c>
      <c r="C158" s="556">
        <v>2600</v>
      </c>
      <c r="D158" s="556">
        <v>6200</v>
      </c>
      <c r="E158" s="557">
        <f>SUMIFS('Accounting data'!$G$2:$G$37003,'Accounting data'!$I$2:$I$37003,"7*",'Accounting data'!$J$2:$J$37003,"26*",'Accounting data'!$K$2:$K$37003,"62*")+SUMIFS('Accounting data'!$G$2:$G$37003,'Accounting data'!$I$2:$I$37003,"8*",'Accounting data'!$J$2:$J$37003,"26*",'Accounting data'!$K$2:$K$37003,"62*")+SUMIFS('Accounting data'!$G$2:$G$37003,'Accounting data'!$I$2:$I$37003,"9*",'Accounting data'!$J$2:$J$37003,"26*",'Accounting data'!$K$2:$K$37003,"62*")</f>
        <v>0</v>
      </c>
    </row>
    <row r="159" spans="1:5" x14ac:dyDescent="0.25">
      <c r="A159" s="558" t="s">
        <v>1011</v>
      </c>
      <c r="B159" s="556" t="s">
        <v>1012</v>
      </c>
      <c r="C159" s="556">
        <v>2600</v>
      </c>
      <c r="D159" s="556">
        <v>6200</v>
      </c>
      <c r="E159" s="557">
        <f>SUMIFS('Accounting data'!$G$2:$G$37003,'Accounting data'!$H$2:$H$37003,"9999*",'Accounting data'!$I$2:$I$37003,"7*",'Accounting data'!$J$2:$J$37003,"26*",'Accounting data'!$K$2:$K$37003,"62*")+SUMIFS('Accounting data'!$G$2:$G$37003,'Accounting data'!$H$2:$H$37003,"9999*",'Accounting data'!$I$2:$I$37003,"8*",'Accounting data'!$J$2:$J$37003,"26*",'Accounting data'!$K$2:$K$37003,"62*")+SUMIFS('Accounting data'!$G$2:$G$37003,'Accounting data'!$H$2:$H$37003,"9999*",'Accounting data'!$I$2:$I$37003,"9*",'Accounting data'!$J$2:$J$37003,"26*",'Accounting data'!$K$2:$K$37003,"62*")</f>
        <v>0</v>
      </c>
    </row>
    <row r="160" spans="1:5" x14ac:dyDescent="0.25">
      <c r="A160" s="556"/>
      <c r="B160" s="556"/>
      <c r="C160" s="556"/>
      <c r="D160" s="556"/>
      <c r="E160" s="557"/>
    </row>
    <row r="161" spans="1:5" x14ac:dyDescent="0.25">
      <c r="A161" s="556"/>
      <c r="B161" s="556"/>
      <c r="C161" s="556"/>
      <c r="D161" s="556"/>
      <c r="E161" s="557"/>
    </row>
    <row r="162" spans="1:5" ht="14.4" x14ac:dyDescent="0.3">
      <c r="A162" s="559" t="s">
        <v>1035</v>
      </c>
      <c r="B162" s="559"/>
      <c r="C162" s="559"/>
      <c r="D162" s="559"/>
      <c r="E162" s="560">
        <f>(E156-E157-E158)+(E159+E160+E161)</f>
        <v>0</v>
      </c>
    </row>
    <row r="163" spans="1:5" x14ac:dyDescent="0.25">
      <c r="A163" s="556" t="s">
        <v>1010</v>
      </c>
      <c r="B163" s="556" t="s">
        <v>1010</v>
      </c>
      <c r="C163" s="556">
        <v>2700</v>
      </c>
      <c r="D163" s="556">
        <v>6200</v>
      </c>
      <c r="E163" s="557">
        <f>SUMIFS('Accounting data'!$G$2:$G$37003,'Accounting data'!$J$2:$J$37003,"27*",'Accounting data'!$K$2:$K$37003,"62*")</f>
        <v>0</v>
      </c>
    </row>
    <row r="164" spans="1:5" x14ac:dyDescent="0.25">
      <c r="A164" s="556" t="s">
        <v>1011</v>
      </c>
      <c r="B164" s="556" t="s">
        <v>1010</v>
      </c>
      <c r="C164" s="556">
        <v>2700</v>
      </c>
      <c r="D164" s="556">
        <v>6200</v>
      </c>
      <c r="E164" s="557">
        <f>SUMIFS('Accounting data'!$G$2:$G$37003,'Accounting data'!$H$2:$H$37003,"9999*",'Accounting data'!$J$2:$J$37003,"27*",'Accounting data'!$K$2:$K$37003,"62*")</f>
        <v>0</v>
      </c>
    </row>
    <row r="165" spans="1:5" x14ac:dyDescent="0.25">
      <c r="A165" s="556" t="s">
        <v>1010</v>
      </c>
      <c r="B165" s="556" t="s">
        <v>1012</v>
      </c>
      <c r="C165" s="556">
        <v>2700</v>
      </c>
      <c r="D165" s="556">
        <v>6200</v>
      </c>
      <c r="E165" s="557">
        <f>SUMIFS('Accounting data'!$G$2:$G$37003,'Accounting data'!$I$2:$I$37003,"7*",'Accounting data'!$J$2:$J$37003,"27*",'Accounting data'!$K$2:$K$37003,"62*")+SUMIFS('Accounting data'!$G$2:$G$37003,'Accounting data'!$I$2:$I$37003,"8*",'Accounting data'!$J$2:$J$37003,"27*",'Accounting data'!$K$2:$K$37003,"62*")+SUMIFS('Accounting data'!$G$2:$G$37003,'Accounting data'!$I$2:$I$37003,"9*",'Accounting data'!$J$2:$J$37003,"27*",'Accounting data'!$K$2:$K$37003,"62*")</f>
        <v>0</v>
      </c>
    </row>
    <row r="166" spans="1:5" x14ac:dyDescent="0.25">
      <c r="A166" s="558" t="s">
        <v>1011</v>
      </c>
      <c r="B166" s="556" t="s">
        <v>1012</v>
      </c>
      <c r="C166" s="556">
        <v>2700</v>
      </c>
      <c r="D166" s="556">
        <v>6200</v>
      </c>
      <c r="E166" s="557">
        <f>SUMIFS('Accounting data'!$G$2:$G$37003,'Accounting data'!$H$2:$H$37003,"9999*",'Accounting data'!$I$2:$I$37003,"7*",'Accounting data'!$J$2:$J$37003,"27*",'Accounting data'!$K$2:$K$37003,"62*")+SUMIFS('Accounting data'!$G$2:$G$37003,'Accounting data'!$H$2:$H$37003,"9999*",'Accounting data'!$I$2:$I$37003,"8*",'Accounting data'!$J$2:$J$37003,"27*",'Accounting data'!$K$2:$K$37003,"62*")+SUMIFS('Accounting data'!$G$2:$G$37003,'Accounting data'!$H$2:$H$37003,"9999*",'Accounting data'!$I$2:$I$37003,"9*",'Accounting data'!$J$2:$J$37003,"27*",'Accounting data'!$K$2:$K$37003,"62*")</f>
        <v>0</v>
      </c>
    </row>
    <row r="167" spans="1:5" x14ac:dyDescent="0.25">
      <c r="A167" s="556"/>
      <c r="B167" s="556"/>
      <c r="C167" s="556"/>
      <c r="D167" s="556"/>
      <c r="E167" s="557"/>
    </row>
    <row r="168" spans="1:5" x14ac:dyDescent="0.25">
      <c r="A168" s="556"/>
      <c r="B168" s="556"/>
      <c r="C168" s="556"/>
      <c r="D168" s="556"/>
      <c r="E168" s="557"/>
    </row>
    <row r="169" spans="1:5" ht="14.4" x14ac:dyDescent="0.3">
      <c r="A169" s="559" t="s">
        <v>1036</v>
      </c>
      <c r="B169" s="559"/>
      <c r="C169" s="559"/>
      <c r="D169" s="559"/>
      <c r="E169" s="560">
        <f>(E163-E164-E165)+(E166+E167+E168)</f>
        <v>0</v>
      </c>
    </row>
    <row r="170" spans="1:5" x14ac:dyDescent="0.25">
      <c r="A170" s="556" t="s">
        <v>1010</v>
      </c>
      <c r="B170" s="556" t="s">
        <v>1010</v>
      </c>
      <c r="C170" s="556">
        <v>3100</v>
      </c>
      <c r="D170" s="556">
        <v>6200</v>
      </c>
      <c r="E170" s="557">
        <f>SUMIFS('Accounting data'!$G$2:$G$37003,'Accounting data'!$J$2:$J$37003,"31*",'Accounting data'!$K$2:$K$37003,"62*")</f>
        <v>0</v>
      </c>
    </row>
    <row r="171" spans="1:5" x14ac:dyDescent="0.25">
      <c r="A171" s="556" t="s">
        <v>1011</v>
      </c>
      <c r="B171" s="556" t="s">
        <v>1010</v>
      </c>
      <c r="C171" s="556">
        <v>3100</v>
      </c>
      <c r="D171" s="556">
        <v>6200</v>
      </c>
      <c r="E171" s="557">
        <f>SUMIFS('Accounting data'!$G$2:$G$37003,'Accounting data'!$H$2:$H$37003,"9999*",'Accounting data'!$J$2:$J$37003,"31*",'Accounting data'!$K$2:$K$37003,"62*")</f>
        <v>0</v>
      </c>
    </row>
    <row r="172" spans="1:5" x14ac:dyDescent="0.25">
      <c r="A172" s="556" t="s">
        <v>1010</v>
      </c>
      <c r="B172" s="556" t="s">
        <v>1012</v>
      </c>
      <c r="C172" s="556">
        <v>3100</v>
      </c>
      <c r="D172" s="556">
        <v>6200</v>
      </c>
      <c r="E172" s="557">
        <f>SUMIFS('Accounting data'!$G$2:$G$37003,'Accounting data'!$I$2:$I$37003,"7*",'Accounting data'!$J$2:$J$37003,"31*",'Accounting data'!$K$2:$K$37003,"62*")+SUMIFS('Accounting data'!$G$2:$G$37003,'Accounting data'!$I$2:$I$37003,"8*",'Accounting data'!$J$2:$J$37003,"31*",'Accounting data'!$K$2:$K$37003,"62*")+SUMIFS('Accounting data'!$G$2:$G$37003,'Accounting data'!$I$2:$I$37003,"9*",'Accounting data'!$J$2:$J$37003,"31*",'Accounting data'!$K$2:$K$37003,"62*")</f>
        <v>0</v>
      </c>
    </row>
    <row r="173" spans="1:5" x14ac:dyDescent="0.25">
      <c r="A173" s="558" t="s">
        <v>1011</v>
      </c>
      <c r="B173" s="556" t="s">
        <v>1012</v>
      </c>
      <c r="C173" s="556">
        <v>3100</v>
      </c>
      <c r="D173" s="556">
        <v>6200</v>
      </c>
      <c r="E173" s="557">
        <f>SUMIFS('Accounting data'!$G$2:$G$37003,'Accounting data'!$H$2:$H$37003,"9999*",'Accounting data'!$I$2:$I$37003,"7*",'Accounting data'!$J$2:$J$37003,"31*",'Accounting data'!$K$2:$K$37003,"62*")+SUMIFS('Accounting data'!$G$2:$G$37003,'Accounting data'!$H$2:$H$37003,"9999*",'Accounting data'!$I$2:$I$37003,"8*",'Accounting data'!$J$2:$J$37003,"31*",'Accounting data'!$K$2:$K$37003,"62*")+SUMIFS('Accounting data'!$G$2:$G$37003,'Accounting data'!$H$2:$H$37003,"9999*",'Accounting data'!$I$2:$I$37003,"9*",'Accounting data'!$J$2:$J$37003,"31*",'Accounting data'!$K$2:$K$37003,"62*")</f>
        <v>0</v>
      </c>
    </row>
    <row r="174" spans="1:5" x14ac:dyDescent="0.25">
      <c r="A174" s="556"/>
      <c r="B174" s="556"/>
      <c r="C174" s="556"/>
      <c r="D174" s="556"/>
      <c r="E174" s="557"/>
    </row>
    <row r="175" spans="1:5" x14ac:dyDescent="0.25">
      <c r="A175" s="556"/>
      <c r="B175" s="556"/>
      <c r="C175" s="556"/>
      <c r="D175" s="556"/>
      <c r="E175" s="557"/>
    </row>
    <row r="176" spans="1:5" ht="14.4" x14ac:dyDescent="0.3">
      <c r="A176" s="559" t="s">
        <v>1037</v>
      </c>
      <c r="B176" s="559"/>
      <c r="C176" s="559"/>
      <c r="D176" s="559"/>
      <c r="E176" s="560">
        <f>(E170-E171-E172)+(E173+E174+E175)</f>
        <v>0</v>
      </c>
    </row>
    <row r="177" spans="1:5" x14ac:dyDescent="0.25">
      <c r="A177" s="556"/>
      <c r="B177" s="556"/>
      <c r="C177" s="556"/>
      <c r="D177" s="556"/>
      <c r="E177" s="557"/>
    </row>
    <row r="178" spans="1:5" x14ac:dyDescent="0.25">
      <c r="A178" s="556"/>
      <c r="B178" s="556"/>
      <c r="C178" s="556"/>
      <c r="D178" s="556"/>
      <c r="E178" s="557"/>
    </row>
    <row r="179" spans="1:5" x14ac:dyDescent="0.25">
      <c r="A179" s="556"/>
      <c r="B179" s="556"/>
      <c r="C179" s="556"/>
      <c r="D179" s="556"/>
      <c r="E179" s="557"/>
    </row>
    <row r="180" spans="1:5" x14ac:dyDescent="0.25">
      <c r="A180" s="558"/>
      <c r="B180" s="556"/>
      <c r="C180" s="556"/>
      <c r="D180" s="556"/>
      <c r="E180" s="557"/>
    </row>
    <row r="181" spans="1:5" x14ac:dyDescent="0.25">
      <c r="A181" s="556"/>
      <c r="B181" s="556"/>
      <c r="C181" s="556"/>
      <c r="D181" s="556"/>
      <c r="E181" s="557"/>
    </row>
    <row r="182" spans="1:5" x14ac:dyDescent="0.25">
      <c r="A182" s="556"/>
      <c r="B182" s="556"/>
      <c r="C182" s="556"/>
      <c r="D182" s="556"/>
      <c r="E182" s="557"/>
    </row>
    <row r="183" spans="1:5" ht="14.4" x14ac:dyDescent="0.3">
      <c r="A183" s="559"/>
      <c r="B183" s="559"/>
      <c r="C183" s="559"/>
      <c r="D183" s="559"/>
      <c r="E183" s="560"/>
    </row>
    <row r="184" spans="1:5" x14ac:dyDescent="0.25">
      <c r="A184" s="556" t="s">
        <v>1010</v>
      </c>
      <c r="B184" s="556" t="s">
        <v>1010</v>
      </c>
      <c r="C184" s="556">
        <v>3400</v>
      </c>
      <c r="D184" s="556">
        <v>6200</v>
      </c>
      <c r="E184" s="557">
        <f>SUMIFS('Accounting data'!$G$2:$G$37003,'Accounting data'!$J$2:$J$37003,"34*",'Accounting data'!$K$2:$K$37003,"62*")</f>
        <v>0</v>
      </c>
    </row>
    <row r="185" spans="1:5" x14ac:dyDescent="0.25">
      <c r="A185" s="556" t="s">
        <v>1011</v>
      </c>
      <c r="B185" s="556" t="s">
        <v>1010</v>
      </c>
      <c r="C185" s="556">
        <v>3400</v>
      </c>
      <c r="D185" s="556">
        <v>6200</v>
      </c>
      <c r="E185" s="557">
        <f>SUMIFS('Accounting data'!$G$2:$G$37003,'Accounting data'!$H$2:$H$37003,"9999*",'Accounting data'!$J$2:$J$37003,"34*",'Accounting data'!$K$2:$K$37003,"62*")</f>
        <v>0</v>
      </c>
    </row>
    <row r="186" spans="1:5" x14ac:dyDescent="0.25">
      <c r="A186" s="556" t="s">
        <v>1010</v>
      </c>
      <c r="B186" s="556" t="s">
        <v>1012</v>
      </c>
      <c r="C186" s="556">
        <v>3400</v>
      </c>
      <c r="D186" s="556">
        <v>6200</v>
      </c>
      <c r="E186" s="557">
        <f>SUMIFS('Accounting data'!$G$2:$G$37003,'Accounting data'!$I$2:$I$37003,"7*",'Accounting data'!$J$2:$J$37003,"34*",'Accounting data'!$K$2:$K$37003,"62*")+SUMIFS('Accounting data'!$G$2:$G$37003,'Accounting data'!$I$2:$I$37003,"8*",'Accounting data'!$J$2:$J$37003,"34*",'Accounting data'!$K$2:$K$37003,"62*")+SUMIFS('Accounting data'!$G$2:$G$37003,'Accounting data'!$I$2:$I$37003,"9*",'Accounting data'!$J$2:$J$37003,"34*",'Accounting data'!$K$2:$K$37003,"62*")</f>
        <v>0</v>
      </c>
    </row>
    <row r="187" spans="1:5" x14ac:dyDescent="0.25">
      <c r="A187" s="558" t="s">
        <v>1011</v>
      </c>
      <c r="B187" s="556" t="s">
        <v>1012</v>
      </c>
      <c r="C187" s="556">
        <v>3400</v>
      </c>
      <c r="D187" s="556">
        <v>6200</v>
      </c>
      <c r="E187" s="557">
        <f>SUMIFS('Accounting data'!$G$2:$G$37003,'Accounting data'!$H$2:$H$37003,"9999*",'Accounting data'!$I$2:$I$37003,"7*",'Accounting data'!$J$2:$J$37003,"34*",'Accounting data'!$K$2:$K$37003,"62*")+SUMIFS('Accounting data'!$G$2:$G$37003,'Accounting data'!$H$2:$H$37003,"9999*",'Accounting data'!$I$2:$I$37003,"8*",'Accounting data'!$J$2:$J$37003,"34*",'Accounting data'!$K$2:$K$37003,"62*")+SUMIFS('Accounting data'!$G$2:$G$37003,'Accounting data'!$H$2:$H$37003,"9999*",'Accounting data'!$I$2:$I$37003,"9*",'Accounting data'!$J$2:$J$37003,"34*",'Accounting data'!$K$2:$K$37003,"62*")</f>
        <v>0</v>
      </c>
    </row>
    <row r="188" spans="1:5" x14ac:dyDescent="0.25">
      <c r="A188" s="556"/>
      <c r="B188" s="556"/>
      <c r="C188" s="556"/>
      <c r="D188" s="556"/>
      <c r="E188" s="557"/>
    </row>
    <row r="189" spans="1:5" x14ac:dyDescent="0.25">
      <c r="A189" s="556"/>
      <c r="B189" s="556"/>
      <c r="C189" s="556"/>
      <c r="D189" s="556"/>
      <c r="E189" s="557"/>
    </row>
    <row r="190" spans="1:5" ht="14.4" x14ac:dyDescent="0.3">
      <c r="A190" s="559" t="s">
        <v>1038</v>
      </c>
      <c r="B190" s="559"/>
      <c r="C190" s="559"/>
      <c r="D190" s="559"/>
      <c r="E190" s="560">
        <f>(E184-E185-E186)+(E187+E188+E189)</f>
        <v>0</v>
      </c>
    </row>
    <row r="191" spans="1:5" x14ac:dyDescent="0.25">
      <c r="A191" s="556" t="s">
        <v>1010</v>
      </c>
      <c r="B191" s="556" t="s">
        <v>1010</v>
      </c>
      <c r="C191" s="556">
        <v>4000</v>
      </c>
      <c r="D191" s="556">
        <v>6200</v>
      </c>
      <c r="E191" s="557">
        <f>SUMIFS('Accounting data'!$G$2:$G$37003,'Accounting data'!$J$2:$J$37003,"4*",'Accounting data'!$K$2:$K$37003,"62*")</f>
        <v>0</v>
      </c>
    </row>
    <row r="192" spans="1:5" x14ac:dyDescent="0.25">
      <c r="A192" s="556" t="s">
        <v>1011</v>
      </c>
      <c r="B192" s="556" t="s">
        <v>1010</v>
      </c>
      <c r="C192" s="556">
        <v>4000</v>
      </c>
      <c r="D192" s="556">
        <v>6200</v>
      </c>
      <c r="E192" s="557">
        <f>SUMIFS('Accounting data'!$G$2:$G$37003,'Accounting data'!$H$2:$H$37003,"9999*",'Accounting data'!$J$2:$J$37003,"4*",'Accounting data'!$K$2:$K$37003,"62*")</f>
        <v>0</v>
      </c>
    </row>
    <row r="193" spans="1:5" x14ac:dyDescent="0.25">
      <c r="A193" s="556" t="s">
        <v>1010</v>
      </c>
      <c r="B193" s="556" t="s">
        <v>1012</v>
      </c>
      <c r="C193" s="556">
        <v>4000</v>
      </c>
      <c r="D193" s="556">
        <v>6200</v>
      </c>
      <c r="E193" s="557">
        <f>SUMIFS('Accounting data'!$G$2:$G$37003,'Accounting data'!$I$2:$I$37003,"7*",'Accounting data'!$J$2:$J$37003,"4*",'Accounting data'!$K$2:$K$37003,"62*")+SUMIFS('Accounting data'!$G$2:$G$37003,'Accounting data'!$I$2:$I$37003,"8*",'Accounting data'!$J$2:$J$37003,"4*",'Accounting data'!$K$2:$K$37003,"62*")+SUMIFS('Accounting data'!$G$2:$G$37003,'Accounting data'!$I$2:$I$37003,"9*",'Accounting data'!$J$2:$J$37003,"4*",'Accounting data'!$K$2:$K$37003,"62*")</f>
        <v>0</v>
      </c>
    </row>
    <row r="194" spans="1:5" x14ac:dyDescent="0.25">
      <c r="A194" s="558" t="s">
        <v>1011</v>
      </c>
      <c r="B194" s="556" t="s">
        <v>1012</v>
      </c>
      <c r="C194" s="556">
        <v>4000</v>
      </c>
      <c r="D194" s="556">
        <v>6200</v>
      </c>
      <c r="E194" s="557">
        <f>SUMIFS('Accounting data'!$G$2:$G$37003,'Accounting data'!$H$2:$H$37003,"9999*",'Accounting data'!$I$2:$I$37003,"7*",'Accounting data'!$J$2:$J$37003,"4*",'Accounting data'!$K$2:$K$37003,"62*")+SUMIFS('Accounting data'!$G$2:$G$37003,'Accounting data'!$H$2:$H$37003,"9999*",'Accounting data'!$I$2:$I$37003,"8*",'Accounting data'!$J$2:$J$37003,"4*",'Accounting data'!$K$2:$K$37003,"62*")+SUMIFS('Accounting data'!$G$2:$G$37003,'Accounting data'!$H$2:$H$37003,"9999*",'Accounting data'!$I$2:$I$37003,"9*",'Accounting data'!$J$2:$J$37003,"4*",'Accounting data'!$K$2:$K$37003,"62*")</f>
        <v>0</v>
      </c>
    </row>
    <row r="195" spans="1:5" x14ac:dyDescent="0.25">
      <c r="A195" s="556"/>
      <c r="B195" s="556"/>
      <c r="C195" s="556"/>
      <c r="D195" s="556"/>
      <c r="E195" s="557"/>
    </row>
    <row r="196" spans="1:5" x14ac:dyDescent="0.25">
      <c r="A196" s="556"/>
      <c r="B196" s="556"/>
      <c r="C196" s="556"/>
      <c r="D196" s="556"/>
      <c r="E196" s="557"/>
    </row>
    <row r="197" spans="1:5" ht="14.4" x14ac:dyDescent="0.3">
      <c r="A197" s="559" t="s">
        <v>1039</v>
      </c>
      <c r="B197" s="559"/>
      <c r="C197" s="559"/>
      <c r="D197" s="559"/>
      <c r="E197" s="560">
        <f>(E191-E192-E193)+(E194+E195+E196)</f>
        <v>0</v>
      </c>
    </row>
    <row r="198" spans="1:5" ht="14.4" x14ac:dyDescent="0.3">
      <c r="A198" s="562" t="s">
        <v>1040</v>
      </c>
      <c r="B198" s="562"/>
      <c r="C198" s="562"/>
      <c r="D198" s="562"/>
      <c r="E198" s="563">
        <f>E113+E120+E127+E134+E141+E148+E155+E162+E169+E176+E183+E190</f>
        <v>10871</v>
      </c>
    </row>
    <row r="199" spans="1:5" ht="14.4" x14ac:dyDescent="0.3">
      <c r="A199" s="556" t="s">
        <v>1026</v>
      </c>
      <c r="B199" s="556" t="s">
        <v>1010</v>
      </c>
      <c r="C199" s="556">
        <v>1000</v>
      </c>
      <c r="D199" s="556">
        <v>6200</v>
      </c>
      <c r="E199" s="564">
        <f>SUMIFS('Accounting data'!$G$2:$G$37003,'Accounting data'!$H$2:$H$37003,"11*",'Accounting data'!$J$2:$J$37003,"1*",'Accounting data'!$K$2:$K$37003,"62*")+SUMIFS('Accounting data'!$G$2:$G$37003,'Accounting data'!$H$2:$H$37003,"12*",'Accounting data'!$J$2:$J$37003,"1*",'Accounting data'!$K$2:$K$37003,"62*")+SUMIFS('Accounting data'!$G$2:$G$37003,'Accounting data'!$H$2:$H$37003,"13*",'Accounting data'!$J$2:$J$37003,"1*",'Accounting data'!$K$2:$K$37003,"62*")</f>
        <v>0</v>
      </c>
    </row>
    <row r="200" spans="1:5" ht="14.4" x14ac:dyDescent="0.3">
      <c r="A200" s="556" t="s">
        <v>1026</v>
      </c>
      <c r="B200" s="556" t="s">
        <v>1010</v>
      </c>
      <c r="C200" s="556">
        <v>2000</v>
      </c>
      <c r="D200" s="556">
        <v>6200</v>
      </c>
      <c r="E200" s="564">
        <f>SUMIFS('Accounting data'!$G$2:$G$37003,'Accounting data'!$H$2:$H$37003,"11*",'Accounting data'!$J$2:$J$37003,"2*",'Accounting data'!$K$2:$K$37003,"62*")+SUMIFS('Accounting data'!$G$2:$G$37003,'Accounting data'!$H$2:$H$37003,"12*",'Accounting data'!$J$2:$J$37003,"2*",'Accounting data'!$K$2:$K$37003,"62*")+SUMIFS('Accounting data'!$G$2:$G$37003,'Accounting data'!$H$2:$H$37003,"13*",'Accounting data'!$J$2:$J$37003,"2*",'Accounting data'!$K$2:$K$37003,"62*")</f>
        <v>0</v>
      </c>
    </row>
    <row r="201" spans="1:5" ht="14.4" x14ac:dyDescent="0.3">
      <c r="A201" s="556" t="s">
        <v>1026</v>
      </c>
      <c r="B201" s="556" t="s">
        <v>1010</v>
      </c>
      <c r="C201" s="556">
        <v>3000</v>
      </c>
      <c r="D201" s="556">
        <v>6200</v>
      </c>
      <c r="E201" s="564">
        <f>SUMIFS('Accounting data'!$G$2:$G$37003,'Accounting data'!$H$2:$H$37003,"11*",'Accounting data'!$J$2:$J$37003,"3*",'Accounting data'!$K$2:$K$37003,"62*")+SUMIFS('Accounting data'!$G$2:$G$37003,'Accounting data'!$H$2:$H$37003,"12*",'Accounting data'!$J$2:$J$37003,"3*",'Accounting data'!$K$2:$K$37003,"62*")+SUMIFS('Accounting data'!$G$2:$G$37003,'Accounting data'!$H$2:$H$37003,"13*",'Accounting data'!$J$2:$J$37003,"3*",'Accounting data'!$K$2:$K$37003,"62*")</f>
        <v>0</v>
      </c>
    </row>
    <row r="202" spans="1:5" ht="14.4" x14ac:dyDescent="0.3">
      <c r="A202" s="556" t="s">
        <v>1026</v>
      </c>
      <c r="B202" s="558">
        <v>700</v>
      </c>
      <c r="C202" s="556">
        <v>1000</v>
      </c>
      <c r="D202" s="556">
        <v>6200</v>
      </c>
      <c r="E202" s="564">
        <f>SUMIFS('Accounting data'!$G$2:$G$37003,'Accounting data'!$H$2:$H$37003,"11*",'Accounting data'!$I$2:$I$37003,"7*",'Accounting data'!$J$2:$J$37003,"1*",'Accounting data'!$K$2:$K$37003,"62*")+SUMIFS('Accounting data'!$G$2:$G$37003,'Accounting data'!$H$2:$H$37003,"12*",'Accounting data'!$I$2:$I$37003,"7*",'Accounting data'!$J$2:$J$37003,"1*",'Accounting data'!$K$2:$K$37003,"62*")+SUMIFS('Accounting data'!$G$2:$G$37003,'Accounting data'!$H$2:$H$37003,"13*",'Accounting data'!$I$2:$I$37003,"7*",'Accounting data'!$J$2:$J$37003,"1*",'Accounting data'!$K$2:$K$37003,"62*")</f>
        <v>0</v>
      </c>
    </row>
    <row r="203" spans="1:5" ht="14.4" x14ac:dyDescent="0.3">
      <c r="A203" s="556" t="s">
        <v>1026</v>
      </c>
      <c r="B203" s="558">
        <v>800</v>
      </c>
      <c r="C203" s="556">
        <v>1000</v>
      </c>
      <c r="D203" s="556">
        <v>6200</v>
      </c>
      <c r="E203" s="564">
        <f>SUMIFS('Accounting data'!$G$2:$G$37003,'Accounting data'!$H$2:$H$37003,"11*",'Accounting data'!$I$2:$I$37003,"8*",'Accounting data'!$J$2:$J$37003,"1*",'Accounting data'!$K$2:$K$37003,"62*")+SUMIFS('Accounting data'!$G$2:$G$37003,'Accounting data'!$H$2:$H$37003,"12*",'Accounting data'!$I$2:$I$37003,"8*",'Accounting data'!$J$2:$J$37003,"1*",'Accounting data'!$K$2:$K$37003,"62*")+SUMIFS('Accounting data'!$G$2:$G$37003,'Accounting data'!$H$2:$H$37003,"13*",'Accounting data'!$I$2:$I$37003,"8*",'Accounting data'!$J$2:$J$37003,"1*",'Accounting data'!$K$2:$K$37003,"62*")</f>
        <v>0</v>
      </c>
    </row>
    <row r="204" spans="1:5" ht="14.4" x14ac:dyDescent="0.3">
      <c r="A204" s="556" t="s">
        <v>1026</v>
      </c>
      <c r="B204" s="558">
        <v>900</v>
      </c>
      <c r="C204" s="556">
        <v>1000</v>
      </c>
      <c r="D204" s="556">
        <v>6200</v>
      </c>
      <c r="E204" s="564">
        <f>SUMIFS('Accounting data'!$G$2:$G$37003,'Accounting data'!$H$2:$H$37003,"11*",'Accounting data'!$I$2:$I$37003,"9*",'Accounting data'!$J$2:$J$37003,"1*",'Accounting data'!$K$2:$K$37003,"62*")+SUMIFS('Accounting data'!$G$2:$G$37003,'Accounting data'!$H$2:$H$37003,"12*",'Accounting data'!$I$2:$I$37003,"9*",'Accounting data'!$J$2:$J$37003,"1*",'Accounting data'!$K$2:$K$37003,"62*")+SUMIFS('Accounting data'!$G$2:$G$37003,'Accounting data'!$H$2:$H$37003,"13*",'Accounting data'!$I$2:$I$37003,"9*",'Accounting data'!$J$2:$J$37003,"1*",'Accounting data'!$K$2:$K$37003,"62*")</f>
        <v>0</v>
      </c>
    </row>
    <row r="205" spans="1:5" ht="14.4" x14ac:dyDescent="0.3">
      <c r="A205" s="556" t="s">
        <v>1026</v>
      </c>
      <c r="B205" s="558">
        <v>700</v>
      </c>
      <c r="C205" s="556">
        <v>2000</v>
      </c>
      <c r="D205" s="556">
        <v>6200</v>
      </c>
      <c r="E205" s="564">
        <f>SUMIFS('Accounting data'!$G$2:$G$37003,'Accounting data'!$H$2:$H$37003,"11*",'Accounting data'!$I$2:$I$37003,"7*",'Accounting data'!$J$2:$J$37003,"2*",'Accounting data'!$K$2:$K$37003,"62*")+SUMIFS('Accounting data'!$G$2:$G$37003,'Accounting data'!$H$2:$H$37003,"12*",'Accounting data'!$I$2:$I$37003,"7*",'Accounting data'!$J$2:$J$37003,"2*",'Accounting data'!$K$2:$K$37003,"62*")+SUMIFS('Accounting data'!$G$2:$G$37003,'Accounting data'!$H$2:$H$37003,"13*",'Accounting data'!$I$2:$I$37003,"7*",'Accounting data'!$J$2:$J$37003,"2*",'Accounting data'!$K$2:$K$37003,"62*")</f>
        <v>0</v>
      </c>
    </row>
    <row r="206" spans="1:5" ht="14.4" x14ac:dyDescent="0.3">
      <c r="A206" s="556" t="s">
        <v>1026</v>
      </c>
      <c r="B206" s="558">
        <v>800</v>
      </c>
      <c r="C206" s="556">
        <v>2000</v>
      </c>
      <c r="D206" s="556">
        <v>6200</v>
      </c>
      <c r="E206" s="564">
        <f>SUMIFS('Accounting data'!$G$2:$G$37003,'Accounting data'!$H$2:$H$37003,"11*",'Accounting data'!$I$2:$I$37003,"8*",'Accounting data'!$J$2:$J$37003,"2*",'Accounting data'!$K$2:$K$37003,"62*")+SUMIFS('Accounting data'!$G$2:$G$37003,'Accounting data'!$H$2:$H$37003,"12*",'Accounting data'!$I$2:$I$37003,"8*",'Accounting data'!$J$2:$J$37003,"2*",'Accounting data'!$K$2:$K$37003,"62*")+SUMIFS('Accounting data'!$G$2:$G$37003,'Accounting data'!$H$2:$H$37003,"13*",'Accounting data'!$I$2:$I$37003,"8*",'Accounting data'!$J$2:$J$37003,"2*",'Accounting data'!$K$2:$K$37003,"62*")</f>
        <v>0</v>
      </c>
    </row>
    <row r="207" spans="1:5" ht="14.4" x14ac:dyDescent="0.3">
      <c r="A207" s="556" t="s">
        <v>1026</v>
      </c>
      <c r="B207" s="558">
        <v>900</v>
      </c>
      <c r="C207" s="556">
        <v>2000</v>
      </c>
      <c r="D207" s="556">
        <v>6200</v>
      </c>
      <c r="E207" s="564">
        <f>SUMIFS('Accounting data'!$G$2:$G$37003,'Accounting data'!$H$2:$H$37003,"11*",'Accounting data'!$I$2:$I$37003,"9*",'Accounting data'!$J$2:$J$37003,"2*",'Accounting data'!$K$2:$K$37003,"62*")+SUMIFS('Accounting data'!$G$2:$G$37003,'Accounting data'!$H$2:$H$37003,"12*",'Accounting data'!$I$2:$I$37003,"9*",'Accounting data'!$J$2:$J$37003,"2*",'Accounting data'!$K$2:$K$37003,"62*")+SUMIFS('Accounting data'!$G$2:$G$37003,'Accounting data'!$H$2:$H$37003,"13*",'Accounting data'!$I$2:$I$37003,"9*",'Accounting data'!$J$2:$J$37003,"2*",'Accounting data'!$K$2:$K$37003,"62*")</f>
        <v>0</v>
      </c>
    </row>
    <row r="208" spans="1:5" ht="14.4" x14ac:dyDescent="0.3">
      <c r="A208" s="556" t="s">
        <v>1026</v>
      </c>
      <c r="B208" s="558">
        <v>700</v>
      </c>
      <c r="C208" s="556">
        <v>3000</v>
      </c>
      <c r="D208" s="556">
        <v>6200</v>
      </c>
      <c r="E208" s="564">
        <f>SUMIFS('Accounting data'!$G$2:$G$37003,'Accounting data'!$H$2:$H$37003,"11*",'Accounting data'!$I$2:$I$37003,"7*",'Accounting data'!$J$2:$J$37003,"3*",'Accounting data'!$K$2:$K$37003,"62*")+SUMIFS('Accounting data'!$G$2:$G$37003,'Accounting data'!$H$2:$H$37003,"12*",'Accounting data'!$I$2:$I$37003,"7*",'Accounting data'!$J$2:$J$37003,"3*",'Accounting data'!$K$2:$K$37003,"62*")+SUMIFS('Accounting data'!$G$2:$G$37003,'Accounting data'!$H$2:$H$37003,"13*",'Accounting data'!$I$2:$I$37003,"7*",'Accounting data'!$J$2:$J$37003,"3*",'Accounting data'!$K$2:$K$37003,"62*")</f>
        <v>0</v>
      </c>
    </row>
    <row r="209" spans="1:5" ht="14.4" x14ac:dyDescent="0.3">
      <c r="A209" s="556" t="s">
        <v>1026</v>
      </c>
      <c r="B209" s="558">
        <v>800</v>
      </c>
      <c r="C209" s="556">
        <v>3000</v>
      </c>
      <c r="D209" s="556">
        <v>6200</v>
      </c>
      <c r="E209" s="564">
        <f>SUMIFS('Accounting data'!$G$2:$G$37003,'Accounting data'!$H$2:$H$37003,"11*",'Accounting data'!$I$2:$I$37003,"8*",'Accounting data'!$J$2:$J$37003,"3*",'Accounting data'!$K$2:$K$37003,"62*")+SUMIFS('Accounting data'!$G$2:$G$37003,'Accounting data'!$H$2:$H$37003,"12*",'Accounting data'!$I$2:$I$37003,"8*",'Accounting data'!$J$2:$J$37003,"3*",'Accounting data'!$K$2:$K$37003,"62*")+SUMIFS('Accounting data'!$G$2:$G$37003,'Accounting data'!$H$2:$H$37003,"13*",'Accounting data'!$I$2:$I$37003,"8*",'Accounting data'!$J$2:$J$37003,"3*",'Accounting data'!$K$2:$K$37003,"62*")</f>
        <v>0</v>
      </c>
    </row>
    <row r="210" spans="1:5" ht="14.4" x14ac:dyDescent="0.3">
      <c r="A210" s="556" t="s">
        <v>1026</v>
      </c>
      <c r="B210" s="558">
        <v>900</v>
      </c>
      <c r="C210" s="556">
        <v>3000</v>
      </c>
      <c r="D210" s="556">
        <v>6200</v>
      </c>
      <c r="E210" s="564">
        <f>SUMIFS('Accounting data'!$G$2:$G$37003,'Accounting data'!$H$2:$H$37003,"11*",'Accounting data'!$I$2:$I$37003,"9*",'Accounting data'!$J$2:$J$37003,"3*",'Accounting data'!$K$2:$K$37003,"62*")+SUMIFS('Accounting data'!$G$2:$G$37003,'Accounting data'!$H$2:$H$37003,"12*",'Accounting data'!$I$2:$I$37003,"9*",'Accounting data'!$J$2:$J$37003,"3*",'Accounting data'!$K$2:$K$37003,"62*")+SUMIFS('Accounting data'!$G$2:$G$37003,'Accounting data'!$H$2:$H$37003,"13*",'Accounting data'!$I$2:$I$37003,"9*",'Accounting data'!$J$2:$J$37003,"3*",'Accounting data'!$K$2:$K$37003,"62*")</f>
        <v>0</v>
      </c>
    </row>
    <row r="211" spans="1:5" ht="14.4" x14ac:dyDescent="0.3">
      <c r="A211" s="559" t="s">
        <v>1041</v>
      </c>
      <c r="B211" s="559"/>
      <c r="C211" s="559"/>
      <c r="D211" s="559"/>
      <c r="E211" s="560">
        <f>(E199+E200+E201)-(E202+E203+E204+E205+E206+E207+E208+E209+E210)</f>
        <v>0</v>
      </c>
    </row>
    <row r="212" spans="1:5" ht="14.4" x14ac:dyDescent="0.3">
      <c r="A212" s="556" t="s">
        <v>1010</v>
      </c>
      <c r="B212" s="556" t="s">
        <v>1010</v>
      </c>
      <c r="C212" s="556">
        <v>1000</v>
      </c>
      <c r="D212" s="565" t="s">
        <v>1042</v>
      </c>
      <c r="E212" s="564">
        <f>SUMIFS('Accounting data'!$G$2:$G$37003,'Accounting data'!$J$2:$J$37003,"1*",'Accounting data'!$K$2:$K$37003,"63*")+SUMIFS('Accounting data'!$G$2:$G$37003,'Accounting data'!$J$2:$J$37003,"1*",'Accounting data'!$K$2:$K$37003,"64*")+SUMIFS('Accounting data'!$G$2:$G$37003,'Accounting data'!$J$2:$J$37003,"1*",'Accounting data'!$K$2:$K$37003,"65*")</f>
        <v>1843</v>
      </c>
    </row>
    <row r="213" spans="1:5" ht="14.4" x14ac:dyDescent="0.3">
      <c r="A213" s="556" t="s">
        <v>1011</v>
      </c>
      <c r="B213" s="556" t="s">
        <v>1010</v>
      </c>
      <c r="C213" s="556">
        <v>1000</v>
      </c>
      <c r="D213" s="556">
        <v>6300</v>
      </c>
      <c r="E213" s="564">
        <f>SUMIFS('Accounting data'!$G$2:$G$37003,'Accounting data'!$H$2:$H$37003,"9999*",'Accounting data'!$J$2:$J$37003,"1*",'Accounting data'!$K$2:$K$37003,"63*")</f>
        <v>0</v>
      </c>
    </row>
    <row r="214" spans="1:5" ht="14.4" x14ac:dyDescent="0.3">
      <c r="A214" s="556" t="s">
        <v>1011</v>
      </c>
      <c r="B214" s="556" t="s">
        <v>1010</v>
      </c>
      <c r="C214" s="556">
        <v>1000</v>
      </c>
      <c r="D214" s="556">
        <v>6400</v>
      </c>
      <c r="E214" s="564">
        <f>SUMIFS('Accounting data'!$G$2:$G$37003,'Accounting data'!$H$2:$H$37003,"9999*",'Accounting data'!$J$2:$J$37003,"1*",'Accounting data'!$K$2:$K$37003,"64*")</f>
        <v>0</v>
      </c>
    </row>
    <row r="215" spans="1:5" ht="14.4" x14ac:dyDescent="0.3">
      <c r="A215" s="556" t="s">
        <v>1011</v>
      </c>
      <c r="B215" s="556" t="s">
        <v>1010</v>
      </c>
      <c r="C215" s="556">
        <v>1000</v>
      </c>
      <c r="D215" s="556">
        <v>6500</v>
      </c>
      <c r="E215" s="564">
        <f>SUMIFS('Accounting data'!$G$2:$G$37003,'Accounting data'!$H$2:$H$37003,"9999*",'Accounting data'!$J$2:$J$37003,"1*",'Accounting data'!$K$2:$K$37003,"65*")</f>
        <v>0</v>
      </c>
    </row>
    <row r="216" spans="1:5" ht="14.4" x14ac:dyDescent="0.3">
      <c r="A216" s="556" t="s">
        <v>1010</v>
      </c>
      <c r="B216" s="556" t="s">
        <v>1012</v>
      </c>
      <c r="C216" s="556">
        <v>1000</v>
      </c>
      <c r="D216" s="565" t="s">
        <v>1042</v>
      </c>
      <c r="E216" s="564">
        <f>SUMIFS('Accounting data'!$G$2:$G$37003,'Accounting data'!$I$2:$I$37003,"7*",'Accounting data'!$J$2:$J$37003,"1*",'Accounting data'!$K$2:$K$37003,"63*")+SUMIFS('Accounting data'!$G$2:$G$37003,'Accounting data'!$I$2:$I$37003,"8*",'Accounting data'!$J$2:$J$37003,"1*",'Accounting data'!$K$2:$K$37003,"63*")+SUMIFS('Accounting data'!$G$2:$G$37003,'Accounting data'!$I$2:$I$37003,"9*",'Accounting data'!$J$2:$J$37003,"1*",'Accounting data'!$K$2:$K$37003,"63*")+SUMIFS('Accounting data'!$G$2:$G$37003,'Accounting data'!$I$2:$I$37003,"7*",'Accounting data'!$J$2:$J$37003,"1*",'Accounting data'!$K$2:$K$37003,"64*")+SUMIFS('Accounting data'!$G$2:$G$37003,'Accounting data'!$I$2:$I$37003,"8*",'Accounting data'!$J$2:$J$37003,"1*",'Accounting data'!$K$2:$K$37003,"64*")+SUMIFS('Accounting data'!$G$2:$G$37003,'Accounting data'!$I$2:$I$37003,"9*",'Accounting data'!$J$2:$J$37003,"1*",'Accounting data'!$K$2:$K$37003,"64*")+SUMIFS('Accounting data'!$G$2:$G$37003,'Accounting data'!$I$2:$I$37003,"7*",'Accounting data'!$J$2:$J$37003,"1*",'Accounting data'!$K$2:$K$37003,"65*")+SUMIFS('Accounting data'!$G$2:$G$37003,'Accounting data'!$I$2:$I$37003,"8*",'Accounting data'!$J$2:$J$37003,"1*",'Accounting data'!$K$2:$K$37003,"65*")+SUMIFS('Accounting data'!$G$2:$G$37003,'Accounting data'!$I$2:$I$37003,"9*",'Accounting data'!$J$2:$J$37003,"1*",'Accounting data'!$K$2:$K$37003,"65*")</f>
        <v>0</v>
      </c>
    </row>
    <row r="217" spans="1:5" ht="14.4" x14ac:dyDescent="0.3">
      <c r="A217" s="558" t="s">
        <v>1011</v>
      </c>
      <c r="B217" s="556" t="s">
        <v>1012</v>
      </c>
      <c r="C217" s="556">
        <v>1000</v>
      </c>
      <c r="D217" s="556">
        <v>6300</v>
      </c>
      <c r="E217" s="564">
        <f>SUMIFS('Accounting data'!$G$2:$G$37003,'Accounting data'!$H$2:$H$37003,"9999*",'Accounting data'!$I$2:$I$37003,"7*",'Accounting data'!$J$2:$J$37003,"1*",'Accounting data'!$K$2:$K$37003,"63*")+SUMIFS('Accounting data'!$G$2:$G$37003,'Accounting data'!$H$2:$H$37003,"9999*",'Accounting data'!$I$2:$I$37003,"8*",'Accounting data'!$J$2:$J$37003,"1*",'Accounting data'!$K$2:$K$37003,"63*")+SUMIFS('Accounting data'!$G$2:$G$37003,'Accounting data'!$H$2:$H$37003,"9999*",'Accounting data'!$I$2:$I$37003,"9*",'Accounting data'!$J$2:$J$37003,"1*",'Accounting data'!$K$2:$K$37003,"63*")</f>
        <v>0</v>
      </c>
    </row>
    <row r="218" spans="1:5" ht="14.4" x14ac:dyDescent="0.3">
      <c r="A218" s="558" t="s">
        <v>1011</v>
      </c>
      <c r="B218" s="556" t="s">
        <v>1012</v>
      </c>
      <c r="C218" s="556">
        <v>1000</v>
      </c>
      <c r="D218" s="556">
        <v>6400</v>
      </c>
      <c r="E218" s="564">
        <f>SUMIFS('Accounting data'!$G$2:$G$37003,'Accounting data'!$H$2:$H$37003,"9999*",'Accounting data'!$I$2:$I$37003,"7*",'Accounting data'!$J$2:$J$37003,"1*",'Accounting data'!$K$2:$K$37003,"64*")+SUMIFS('Accounting data'!$G$2:$G$37003,'Accounting data'!$H$2:$H$37003,"9999*",'Accounting data'!$I$2:$I$37003,"8*",'Accounting data'!$J$2:$J$37003,"1*",'Accounting data'!$K$2:$K$37003,"64*")+SUMIFS('Accounting data'!$G$2:$G$37003,'Accounting data'!$H$2:$H$37003,"9999*",'Accounting data'!$I$2:$I$37003,"9*",'Accounting data'!$J$2:$J$37003,"1*",'Accounting data'!$K$2:$K$37003,"64*")</f>
        <v>0</v>
      </c>
    </row>
    <row r="219" spans="1:5" ht="14.4" x14ac:dyDescent="0.3">
      <c r="A219" s="558" t="s">
        <v>1011</v>
      </c>
      <c r="B219" s="556" t="s">
        <v>1012</v>
      </c>
      <c r="C219" s="556">
        <v>1000</v>
      </c>
      <c r="D219" s="556">
        <v>6500</v>
      </c>
      <c r="E219" s="564">
        <f>SUMIFS('Accounting data'!$G$2:$G$37003,'Accounting data'!$H$2:$H$37003,"9999*",'Accounting data'!$I$2:$I$37003,"7*",'Accounting data'!$J$2:$J$37003,"1*",'Accounting data'!$K$2:$K$37003,"65*")+SUMIFS('Accounting data'!$G$2:$G$37003,'Accounting data'!$H$2:$H$37003,"9999*",'Accounting data'!$I$2:$I$37003,"8*",'Accounting data'!$J$2:$J$37003,"1*",'Accounting data'!$K$2:$K$37003,"65*")+SUMIFS('Accounting data'!$G$2:$G$37003,'Accounting data'!$H$2:$H$37003,"9999*",'Accounting data'!$I$2:$I$37003,"9*",'Accounting data'!$J$2:$J$37003,"1*",'Accounting data'!$K$2:$K$37003,"65*")</f>
        <v>0</v>
      </c>
    </row>
    <row r="220" spans="1:5" x14ac:dyDescent="0.25">
      <c r="A220" s="558"/>
      <c r="B220" s="556"/>
      <c r="C220" s="556"/>
      <c r="D220" s="556"/>
      <c r="E220" s="557"/>
    </row>
    <row r="221" spans="1:5" x14ac:dyDescent="0.25">
      <c r="A221" s="558"/>
      <c r="B221" s="556"/>
      <c r="C221" s="556"/>
      <c r="D221" s="556"/>
      <c r="E221" s="557"/>
    </row>
    <row r="222" spans="1:5" x14ac:dyDescent="0.25">
      <c r="A222" s="558"/>
      <c r="B222" s="556"/>
      <c r="C222" s="556"/>
      <c r="D222" s="556"/>
      <c r="E222" s="557"/>
    </row>
    <row r="223" spans="1:5" x14ac:dyDescent="0.25">
      <c r="A223" s="558"/>
      <c r="B223" s="556"/>
      <c r="C223" s="556"/>
      <c r="D223" s="556"/>
      <c r="E223" s="557"/>
    </row>
    <row r="224" spans="1:5" x14ac:dyDescent="0.25">
      <c r="A224" s="558"/>
      <c r="B224" s="556"/>
      <c r="C224" s="556"/>
      <c r="D224" s="556"/>
      <c r="E224" s="557"/>
    </row>
    <row r="225" spans="1:5" x14ac:dyDescent="0.25">
      <c r="A225" s="558"/>
      <c r="B225" s="556"/>
      <c r="C225" s="556"/>
      <c r="D225" s="556"/>
      <c r="E225" s="557"/>
    </row>
    <row r="226" spans="1:5" x14ac:dyDescent="0.25">
      <c r="A226" s="558"/>
      <c r="B226" s="556"/>
      <c r="C226" s="556"/>
      <c r="D226" s="556"/>
      <c r="E226" s="557"/>
    </row>
    <row r="227" spans="1:5" x14ac:dyDescent="0.25">
      <c r="A227" s="556"/>
      <c r="B227" s="556"/>
      <c r="C227" s="556"/>
      <c r="D227" s="556"/>
      <c r="E227" s="557"/>
    </row>
    <row r="228" spans="1:5" x14ac:dyDescent="0.25">
      <c r="A228" s="558"/>
      <c r="B228" s="556"/>
      <c r="C228" s="556"/>
      <c r="D228" s="556"/>
      <c r="E228" s="557"/>
    </row>
    <row r="229" spans="1:5" x14ac:dyDescent="0.25">
      <c r="A229" s="558"/>
      <c r="B229" s="556"/>
      <c r="C229" s="556"/>
      <c r="D229" s="556"/>
      <c r="E229" s="557"/>
    </row>
    <row r="230" spans="1:5" x14ac:dyDescent="0.25">
      <c r="A230" s="558"/>
      <c r="B230" s="556"/>
      <c r="C230" s="556"/>
      <c r="D230" s="556"/>
      <c r="E230" s="557"/>
    </row>
    <row r="231" spans="1:5" x14ac:dyDescent="0.25">
      <c r="A231" s="558"/>
      <c r="B231" s="556"/>
      <c r="C231" s="556"/>
      <c r="D231" s="556"/>
      <c r="E231" s="557"/>
    </row>
    <row r="232" spans="1:5" x14ac:dyDescent="0.25">
      <c r="A232" s="558"/>
      <c r="B232" s="556"/>
      <c r="C232" s="556"/>
      <c r="D232" s="556"/>
      <c r="E232" s="557"/>
    </row>
    <row r="233" spans="1:5" x14ac:dyDescent="0.25">
      <c r="A233" s="556"/>
      <c r="B233" s="556"/>
      <c r="C233" s="556"/>
      <c r="D233" s="556"/>
      <c r="E233" s="557"/>
    </row>
    <row r="234" spans="1:5" x14ac:dyDescent="0.25">
      <c r="A234" s="558"/>
      <c r="B234" s="556"/>
      <c r="C234" s="556"/>
      <c r="D234" s="556"/>
      <c r="E234" s="557"/>
    </row>
    <row r="235" spans="1:5" x14ac:dyDescent="0.25">
      <c r="A235" s="558"/>
      <c r="B235" s="556"/>
      <c r="C235" s="556"/>
      <c r="D235" s="556"/>
      <c r="E235" s="557"/>
    </row>
    <row r="236" spans="1:5" x14ac:dyDescent="0.25">
      <c r="A236" s="558"/>
      <c r="B236" s="556"/>
      <c r="C236" s="556"/>
      <c r="D236" s="556"/>
      <c r="E236" s="557"/>
    </row>
    <row r="237" spans="1:5" x14ac:dyDescent="0.25">
      <c r="A237" s="558"/>
      <c r="B237" s="556"/>
      <c r="C237" s="556"/>
      <c r="D237" s="556"/>
      <c r="E237" s="557"/>
    </row>
    <row r="238" spans="1:5" ht="14.4" x14ac:dyDescent="0.3">
      <c r="A238" s="559" t="s">
        <v>1043</v>
      </c>
      <c r="B238" s="559"/>
      <c r="C238" s="559"/>
      <c r="D238" s="559"/>
      <c r="E238" s="560">
        <f>((E212-E213-E214-E215-E216)+(E217+E218+E219+E220+E221+E222+E223+E224+E225))-((E226-E227-E228)+(E229+E230+E231))-((E232-E233-E234)+(E235+E236+E237))</f>
        <v>1843</v>
      </c>
    </row>
    <row r="239" spans="1:5" x14ac:dyDescent="0.25">
      <c r="A239" s="556" t="s">
        <v>1010</v>
      </c>
      <c r="B239" s="556" t="s">
        <v>1010</v>
      </c>
      <c r="C239" s="556">
        <v>2100</v>
      </c>
      <c r="D239" s="565" t="s">
        <v>1042</v>
      </c>
      <c r="E239" s="557">
        <f>SUMIFS('Accounting data'!$G$2:$G$37003,'Accounting data'!$J$2:$J$37003,"21*",'Accounting data'!$K$2:$K$37003,"63*")+SUMIFS('Accounting data'!$G$2:$G$37003,'Accounting data'!$J$2:$J$37003,"21*",'Accounting data'!$K$2:$K$37003,"64*")+SUMIFS('Accounting data'!$G$2:$G$37003,'Accounting data'!$J$2:$J$37003,"21*",'Accounting data'!$K$2:$K$37003,"65*")</f>
        <v>1300</v>
      </c>
    </row>
    <row r="240" spans="1:5" x14ac:dyDescent="0.25">
      <c r="A240" s="556" t="s">
        <v>1011</v>
      </c>
      <c r="B240" s="556" t="s">
        <v>1010</v>
      </c>
      <c r="C240" s="556">
        <v>2100</v>
      </c>
      <c r="D240" s="556">
        <v>6300</v>
      </c>
      <c r="E240" s="557">
        <f>SUMIFS('Accounting data'!$G$2:$G$37003,'Accounting data'!$H$2:$H$37003,"9999*",'Accounting data'!$J$2:$J$37003,"21*",'Accounting data'!$K$2:$K$37003,"63*")</f>
        <v>0</v>
      </c>
    </row>
    <row r="241" spans="1:5" x14ac:dyDescent="0.25">
      <c r="A241" s="556" t="s">
        <v>1011</v>
      </c>
      <c r="B241" s="556" t="s">
        <v>1010</v>
      </c>
      <c r="C241" s="556">
        <v>2100</v>
      </c>
      <c r="D241" s="556">
        <v>6400</v>
      </c>
      <c r="E241" s="557">
        <f>SUMIFS('Accounting data'!$G$2:$G$37003,'Accounting data'!$H$2:$H$37003,"9999*",'Accounting data'!$J$2:$J$37003,"21*",'Accounting data'!$K$2:$K$37003,"64*")</f>
        <v>0</v>
      </c>
    </row>
    <row r="242" spans="1:5" x14ac:dyDescent="0.25">
      <c r="A242" s="556" t="s">
        <v>1011</v>
      </c>
      <c r="B242" s="556" t="s">
        <v>1010</v>
      </c>
      <c r="C242" s="556">
        <v>2100</v>
      </c>
      <c r="D242" s="556">
        <v>6500</v>
      </c>
      <c r="E242" s="557">
        <f>SUMIFS('Accounting data'!$G$2:$G$37003,'Accounting data'!$H$2:$H$37003,"9999*",'Accounting data'!$J$2:$J$37003,"21*",'Accounting data'!$K$2:$K$37003,"65*")</f>
        <v>0</v>
      </c>
    </row>
    <row r="243" spans="1:5" x14ac:dyDescent="0.25">
      <c r="A243" s="556" t="s">
        <v>1010</v>
      </c>
      <c r="B243" s="556" t="s">
        <v>1012</v>
      </c>
      <c r="C243" s="556">
        <v>2100</v>
      </c>
      <c r="D243" s="565" t="s">
        <v>1042</v>
      </c>
      <c r="E243" s="557">
        <f>SUMIFS('Accounting data'!$G$2:$G$37003,'Accounting data'!$I$2:$I$37003,"7*",'Accounting data'!$J$2:$J$37003,"21*",'Accounting data'!$K$2:$K$37003,"63*")+SUMIFS('Accounting data'!$G$2:$G$37003,'Accounting data'!$I$2:$I$37003,"8*",'Accounting data'!$J$2:$J$37003,"21*",'Accounting data'!$K$2:$K$37003,"63*")+SUMIFS('Accounting data'!$G$2:$G$37003,'Accounting data'!$I$2:$I$37003,"9*",'Accounting data'!$J$2:$J$37003,"21*",'Accounting data'!$K$2:$K$37003,"63*")+SUMIFS('Accounting data'!$G$2:$G$37003,'Accounting data'!$I$2:$I$37003,"7*",'Accounting data'!$J$2:$J$37003,"21*",'Accounting data'!$K$2:$K$37003,"64*")+SUMIFS('Accounting data'!$G$2:$G$37003,'Accounting data'!$I$2:$I$37003,"8*",'Accounting data'!$J$2:$J$37003,"21*",'Accounting data'!$K$2:$K$37003,"64*")+SUMIFS('Accounting data'!$G$2:$G$37003,'Accounting data'!$I$2:$I$37003,"9*",'Accounting data'!$J$2:$J$37003,"21*",'Accounting data'!$K$2:$K$37003,"64*")+SUMIFS('Accounting data'!$G$2:$G$37003,'Accounting data'!$I$2:$I$37003,"7*",'Accounting data'!$J$2:$J$37003,"21*",'Accounting data'!$K$2:$K$37003,"65*")+SUMIFS('Accounting data'!$G$2:$G$37003,'Accounting data'!$I$2:$I$37003,"8*",'Accounting data'!$J$2:$J$37003,"21*",'Accounting data'!$K$2:$K$37003,"65*")+SUMIFS('Accounting data'!$G$2:$G$37003,'Accounting data'!$I$2:$I$37003,"9*",'Accounting data'!$J$2:$J$37003,"21*",'Accounting data'!$K$2:$K$37003,"65*")</f>
        <v>0</v>
      </c>
    </row>
    <row r="244" spans="1:5" x14ac:dyDescent="0.25">
      <c r="A244" s="558" t="s">
        <v>1011</v>
      </c>
      <c r="B244" s="556" t="s">
        <v>1012</v>
      </c>
      <c r="C244" s="556">
        <v>2100</v>
      </c>
      <c r="D244" s="556">
        <v>6300</v>
      </c>
      <c r="E244" s="557">
        <f>SUMIFS('Accounting data'!$G$2:$G$37003,'Accounting data'!$H$2:$H$37003,"9999*",'Accounting data'!$I$2:$I$37003,"7*",'Accounting data'!$J$2:$J$37003,"21*",'Accounting data'!$K$2:$K$37003,"63*")+SUMIFS('Accounting data'!$G$2:$G$37003,'Accounting data'!$H$2:$H$37003,"9999*",'Accounting data'!$I$2:$I$37003,"8*",'Accounting data'!$J$2:$J$37003,"21*",'Accounting data'!$K$2:$K$37003,"63*")+SUMIFS('Accounting data'!$G$2:$G$37003,'Accounting data'!$H$2:$H$37003,"9999*",'Accounting data'!$I$2:$I$37003,"9*",'Accounting data'!$J$2:$J$37003,"21*",'Accounting data'!$K$2:$K$37003,"63*")</f>
        <v>0</v>
      </c>
    </row>
    <row r="245" spans="1:5" x14ac:dyDescent="0.25">
      <c r="A245" s="558" t="s">
        <v>1011</v>
      </c>
      <c r="B245" s="556" t="s">
        <v>1012</v>
      </c>
      <c r="C245" s="556">
        <v>2100</v>
      </c>
      <c r="D245" s="556">
        <v>6400</v>
      </c>
      <c r="E245" s="557">
        <f>SUMIFS('Accounting data'!$G$2:$G$37003,'Accounting data'!$H$2:$H$37003,"9999*",'Accounting data'!$I$2:$I$37003,"7*",'Accounting data'!$J$2:$J$37003,"21*",'Accounting data'!$K$2:$K$37003,"64*")+SUMIFS('Accounting data'!$G$2:$G$37003,'Accounting data'!$H$2:$H$37003,"9999*",'Accounting data'!$I$2:$I$37003,"8*",'Accounting data'!$J$2:$J$37003,"21*",'Accounting data'!$K$2:$K$37003,"64*")+SUMIFS('Accounting data'!$G$2:$G$37003,'Accounting data'!$H$2:$H$37003,"9999*",'Accounting data'!$I$2:$I$37003,"9*",'Accounting data'!$J$2:$J$37003,"21*",'Accounting data'!$K$2:$K$37003,"64*")</f>
        <v>0</v>
      </c>
    </row>
    <row r="246" spans="1:5" x14ac:dyDescent="0.25">
      <c r="A246" s="558" t="s">
        <v>1011</v>
      </c>
      <c r="B246" s="556" t="s">
        <v>1012</v>
      </c>
      <c r="C246" s="556">
        <v>2100</v>
      </c>
      <c r="D246" s="556">
        <v>6500</v>
      </c>
      <c r="E246" s="557">
        <f>SUMIFS('Accounting data'!$G$2:$G$37003,'Accounting data'!$H$2:$H$37003,"9999*",'Accounting data'!$I$2:$I$37003,"7*",'Accounting data'!$J$2:$J$37003,"21*",'Accounting data'!$K$2:$K$37003,"65*")+SUMIFS('Accounting data'!$G$2:$G$37003,'Accounting data'!$H$2:$H$37003,"9999*",'Accounting data'!$I$2:$I$37003,"8*",'Accounting data'!$J$2:$J$37003,"21*",'Accounting data'!$K$2:$K$37003,"65*")+SUMIFS('Accounting data'!$G$2:$G$37003,'Accounting data'!$H$2:$H$37003,"9999*",'Accounting data'!$I$2:$I$37003,"9*",'Accounting data'!$J$2:$J$37003,"21*",'Accounting data'!$K$2:$K$37003,"65*")</f>
        <v>0</v>
      </c>
    </row>
    <row r="247" spans="1:5" x14ac:dyDescent="0.25">
      <c r="A247" s="558"/>
      <c r="B247" s="556"/>
      <c r="C247" s="556"/>
      <c r="D247" s="556"/>
      <c r="E247" s="557"/>
    </row>
    <row r="248" spans="1:5" x14ac:dyDescent="0.25">
      <c r="A248" s="558"/>
      <c r="B248" s="556"/>
      <c r="C248" s="556"/>
      <c r="D248" s="556"/>
      <c r="E248" s="557"/>
    </row>
    <row r="249" spans="1:5" x14ac:dyDescent="0.25">
      <c r="A249" s="558"/>
      <c r="B249" s="556"/>
      <c r="C249" s="556"/>
      <c r="D249" s="556"/>
      <c r="E249" s="557"/>
    </row>
    <row r="250" spans="1:5" x14ac:dyDescent="0.25">
      <c r="A250" s="558"/>
      <c r="B250" s="556"/>
      <c r="C250" s="556"/>
      <c r="D250" s="556"/>
      <c r="E250" s="557"/>
    </row>
    <row r="251" spans="1:5" x14ac:dyDescent="0.25">
      <c r="A251" s="558"/>
      <c r="B251" s="556"/>
      <c r="C251" s="556"/>
      <c r="D251" s="556"/>
      <c r="E251" s="557"/>
    </row>
    <row r="252" spans="1:5" x14ac:dyDescent="0.25">
      <c r="A252" s="558"/>
      <c r="B252" s="556"/>
      <c r="C252" s="556"/>
      <c r="D252" s="556"/>
      <c r="E252" s="557"/>
    </row>
    <row r="253" spans="1:5" x14ac:dyDescent="0.25">
      <c r="A253" s="558"/>
      <c r="B253" s="556"/>
      <c r="C253" s="556"/>
      <c r="D253" s="556"/>
      <c r="E253" s="557"/>
    </row>
    <row r="254" spans="1:5" x14ac:dyDescent="0.25">
      <c r="A254" s="556"/>
      <c r="B254" s="556"/>
      <c r="C254" s="556"/>
      <c r="D254" s="556"/>
      <c r="E254" s="557"/>
    </row>
    <row r="255" spans="1:5" x14ac:dyDescent="0.25">
      <c r="A255" s="558"/>
      <c r="B255" s="556"/>
      <c r="C255" s="556"/>
      <c r="D255" s="556"/>
      <c r="E255" s="557"/>
    </row>
    <row r="256" spans="1:5" x14ac:dyDescent="0.25">
      <c r="A256" s="558"/>
      <c r="B256" s="556"/>
      <c r="C256" s="556"/>
      <c r="D256" s="556"/>
      <c r="E256" s="557"/>
    </row>
    <row r="257" spans="1:5" x14ac:dyDescent="0.25">
      <c r="A257" s="558"/>
      <c r="B257" s="556"/>
      <c r="C257" s="556"/>
      <c r="D257" s="556"/>
      <c r="E257" s="557"/>
    </row>
    <row r="258" spans="1:5" x14ac:dyDescent="0.25">
      <c r="A258" s="558"/>
      <c r="B258" s="556"/>
      <c r="C258" s="556"/>
      <c r="D258" s="556"/>
      <c r="E258" s="557"/>
    </row>
    <row r="259" spans="1:5" x14ac:dyDescent="0.25">
      <c r="A259" s="558"/>
      <c r="B259" s="556"/>
      <c r="C259" s="556"/>
      <c r="D259" s="556"/>
      <c r="E259" s="557"/>
    </row>
    <row r="260" spans="1:5" x14ac:dyDescent="0.25">
      <c r="A260" s="556"/>
      <c r="B260" s="556"/>
      <c r="C260" s="556"/>
      <c r="D260" s="556"/>
      <c r="E260" s="557"/>
    </row>
    <row r="261" spans="1:5" x14ac:dyDescent="0.25">
      <c r="A261" s="558"/>
      <c r="B261" s="556"/>
      <c r="C261" s="556"/>
      <c r="D261" s="556"/>
      <c r="E261" s="557"/>
    </row>
    <row r="262" spans="1:5" x14ac:dyDescent="0.25">
      <c r="A262" s="558"/>
      <c r="B262" s="556"/>
      <c r="C262" s="556"/>
      <c r="D262" s="556"/>
      <c r="E262" s="557"/>
    </row>
    <row r="263" spans="1:5" x14ac:dyDescent="0.25">
      <c r="A263" s="558"/>
      <c r="B263" s="556"/>
      <c r="C263" s="556"/>
      <c r="D263" s="556"/>
      <c r="E263" s="557"/>
    </row>
    <row r="264" spans="1:5" x14ac:dyDescent="0.25">
      <c r="A264" s="558"/>
      <c r="B264" s="556"/>
      <c r="C264" s="556"/>
      <c r="D264" s="556"/>
      <c r="E264" s="557"/>
    </row>
    <row r="265" spans="1:5" x14ac:dyDescent="0.25">
      <c r="A265" s="559" t="s">
        <v>1044</v>
      </c>
      <c r="B265" s="559"/>
      <c r="C265" s="559"/>
      <c r="D265" s="559"/>
      <c r="E265" s="561">
        <f>((E239-E240-E241-E242-E243)+(E244+E245+E246+E247+E248+E249+E250+E251+E252))-((E253-E254-E255)+(E256+E257+E258))-((E259-E260-E261)+(E262+E263+E264))</f>
        <v>1300</v>
      </c>
    </row>
    <row r="266" spans="1:5" x14ac:dyDescent="0.25">
      <c r="A266" s="556" t="s">
        <v>1010</v>
      </c>
      <c r="B266" s="556" t="s">
        <v>1010</v>
      </c>
      <c r="C266" s="556">
        <v>2200</v>
      </c>
      <c r="D266" s="565" t="s">
        <v>1042</v>
      </c>
      <c r="E266" s="557">
        <f>SUMIFS('Accounting data'!$G$2:$G$37003,'Accounting data'!$J$2:$J$37003,"22*",'Accounting data'!$K$2:$K$37003,"63*")+SUMIFS('Accounting data'!$G$2:$G$37003,'Accounting data'!$J$2:$J$37003,"22*",'Accounting data'!$K$2:$K$37003,"64*")+SUMIFS('Accounting data'!$G$2:$G$37003,'Accounting data'!$J$2:$J$37003,"22*",'Accounting data'!$K$2:$K$37003,"65*")</f>
        <v>0</v>
      </c>
    </row>
    <row r="267" spans="1:5" x14ac:dyDescent="0.25">
      <c r="A267" s="556" t="s">
        <v>1011</v>
      </c>
      <c r="B267" s="556" t="s">
        <v>1010</v>
      </c>
      <c r="C267" s="556">
        <v>2200</v>
      </c>
      <c r="D267" s="556">
        <v>6300</v>
      </c>
      <c r="E267" s="557">
        <f>SUMIFS('Accounting data'!$G$2:$G$37003,'Accounting data'!$H$2:$H$37003,"9999*",'Accounting data'!$J$2:$J$37003,"22*",'Accounting data'!$K$2:$K$37003,"63*")</f>
        <v>0</v>
      </c>
    </row>
    <row r="268" spans="1:5" x14ac:dyDescent="0.25">
      <c r="A268" s="556" t="s">
        <v>1011</v>
      </c>
      <c r="B268" s="556" t="s">
        <v>1010</v>
      </c>
      <c r="C268" s="556">
        <v>2200</v>
      </c>
      <c r="D268" s="556">
        <v>6400</v>
      </c>
      <c r="E268" s="557">
        <f>SUMIFS('Accounting data'!$G$2:$G$37003,'Accounting data'!$H$2:$H$37003,"9999*",'Accounting data'!$J$2:$J$37003,"22*",'Accounting data'!$K$2:$K$37003,"64*")</f>
        <v>0</v>
      </c>
    </row>
    <row r="269" spans="1:5" x14ac:dyDescent="0.25">
      <c r="A269" s="556" t="s">
        <v>1011</v>
      </c>
      <c r="B269" s="556" t="s">
        <v>1010</v>
      </c>
      <c r="C269" s="556">
        <v>2200</v>
      </c>
      <c r="D269" s="556">
        <v>6500</v>
      </c>
      <c r="E269" s="557">
        <f>SUMIFS('Accounting data'!$G$2:$G$37003,'Accounting data'!$H$2:$H$37003,"9999*",'Accounting data'!$J$2:$J$37003,"22*",'Accounting data'!$K$2:$K$37003,"65*")</f>
        <v>0</v>
      </c>
    </row>
    <row r="270" spans="1:5" x14ac:dyDescent="0.25">
      <c r="A270" s="556" t="s">
        <v>1010</v>
      </c>
      <c r="B270" s="556" t="s">
        <v>1012</v>
      </c>
      <c r="C270" s="556">
        <v>2200</v>
      </c>
      <c r="D270" s="565" t="s">
        <v>1042</v>
      </c>
      <c r="E270" s="557">
        <f>SUMIFS('Accounting data'!$G$2:$G$37003,'Accounting data'!$I$2:$I$37003,"7*",'Accounting data'!$J$2:$J$37003,"22*",'Accounting data'!$K$2:$K$37003,"63*")+SUMIFS('Accounting data'!$G$2:$G$37003,'Accounting data'!$I$2:$I$37003,"8*",'Accounting data'!$J$2:$J$37003,"22*",'Accounting data'!$K$2:$K$37003,"63*")+SUMIFS('Accounting data'!$G$2:$G$37003,'Accounting data'!$I$2:$I$37003,"9*",'Accounting data'!$J$2:$J$37003,"22*",'Accounting data'!$K$2:$K$37003,"63*")+SUMIFS('Accounting data'!$G$2:$G$37003,'Accounting data'!$I$2:$I$37003,"7*",'Accounting data'!$J$2:$J$37003,"22*",'Accounting data'!$K$2:$K$37003,"64*")+SUMIFS('Accounting data'!$G$2:$G$37003,'Accounting data'!$I$2:$I$37003,"8*",'Accounting data'!$J$2:$J$37003,"22*",'Accounting data'!$K$2:$K$37003,"64*")+SUMIFS('Accounting data'!$G$2:$G$37003,'Accounting data'!$I$2:$I$37003,"9*",'Accounting data'!$J$2:$J$37003,"22*",'Accounting data'!$K$2:$K$37003,"64*")+SUMIFS('Accounting data'!$G$2:$G$37003,'Accounting data'!$I$2:$I$37003,"7*",'Accounting data'!$J$2:$J$37003,"22*",'Accounting data'!$K$2:$K$37003,"65*")+SUMIFS('Accounting data'!$G$2:$G$37003,'Accounting data'!$I$2:$I$37003,"8*",'Accounting data'!$J$2:$J$37003,"22*",'Accounting data'!$K$2:$K$37003,"65*")+SUMIFS('Accounting data'!$G$2:$G$37003,'Accounting data'!$I$2:$I$37003,"9*",'Accounting data'!$J$2:$J$37003,"22*",'Accounting data'!$K$2:$K$37003,"65*")</f>
        <v>0</v>
      </c>
    </row>
    <row r="271" spans="1:5" x14ac:dyDescent="0.25">
      <c r="A271" s="558" t="s">
        <v>1011</v>
      </c>
      <c r="B271" s="556" t="s">
        <v>1012</v>
      </c>
      <c r="C271" s="556">
        <v>2200</v>
      </c>
      <c r="D271" s="556">
        <v>6300</v>
      </c>
      <c r="E271" s="557">
        <f>SUMIFS('Accounting data'!$G$2:$G$37003,'Accounting data'!$H$2:$H$37003,"9999*",'Accounting data'!$I$2:$I$37003,"7*",'Accounting data'!$J$2:$J$37003,"22*",'Accounting data'!$K$2:$K$37003,"63*")+SUMIFS('Accounting data'!$G$2:$G$37003,'Accounting data'!$H$2:$H$37003,"9999*",'Accounting data'!$I$2:$I$37003,"8*",'Accounting data'!$J$2:$J$37003,"22*",'Accounting data'!$K$2:$K$37003,"63*")+SUMIFS('Accounting data'!$G$2:$G$37003,'Accounting data'!$H$2:$H$37003,"9999*",'Accounting data'!$I$2:$I$37003,"9*",'Accounting data'!$J$2:$J$37003,"22*",'Accounting data'!$K$2:$K$37003,"63*")</f>
        <v>0</v>
      </c>
    </row>
    <row r="272" spans="1:5" x14ac:dyDescent="0.25">
      <c r="A272" s="558" t="s">
        <v>1011</v>
      </c>
      <c r="B272" s="556" t="s">
        <v>1012</v>
      </c>
      <c r="C272" s="556">
        <v>2200</v>
      </c>
      <c r="D272" s="556">
        <v>6400</v>
      </c>
      <c r="E272" s="557">
        <f>SUMIFS('Accounting data'!$G$2:$G$37003,'Accounting data'!$H$2:$H$37003,"9999*",'Accounting data'!$I$2:$I$37003,"7*",'Accounting data'!$J$2:$J$37003,"22*",'Accounting data'!$K$2:$K$37003,"64*")+SUMIFS('Accounting data'!$G$2:$G$37003,'Accounting data'!$H$2:$H$37003,"9999*",'Accounting data'!$I$2:$I$37003,"8*",'Accounting data'!$J$2:$J$37003,"22*",'Accounting data'!$K$2:$K$37003,"64*")+SUMIFS('Accounting data'!$G$2:$G$37003,'Accounting data'!$H$2:$H$37003,"9999*",'Accounting data'!$I$2:$I$37003,"9*",'Accounting data'!$J$2:$J$37003,"22*",'Accounting data'!$K$2:$K$37003,"64*")</f>
        <v>0</v>
      </c>
    </row>
    <row r="273" spans="1:5" x14ac:dyDescent="0.25">
      <c r="A273" s="558" t="s">
        <v>1011</v>
      </c>
      <c r="B273" s="556" t="s">
        <v>1012</v>
      </c>
      <c r="C273" s="556">
        <v>2200</v>
      </c>
      <c r="D273" s="556">
        <v>6500</v>
      </c>
      <c r="E273" s="557">
        <f>SUMIFS('Accounting data'!$G$2:$G$37003,'Accounting data'!$H$2:$H$37003,"9999*",'Accounting data'!$I$2:$I$37003,"7*",'Accounting data'!$J$2:$J$37003,"22*",'Accounting data'!$K$2:$K$37003,"65*")+SUMIFS('Accounting data'!$G$2:$G$37003,'Accounting data'!$H$2:$H$37003,"9999*",'Accounting data'!$I$2:$I$37003,"8*",'Accounting data'!$J$2:$J$37003,"22*",'Accounting data'!$K$2:$K$37003,"65*")+SUMIFS('Accounting data'!$G$2:$G$37003,'Accounting data'!$H$2:$H$37003,"9999*",'Accounting data'!$I$2:$I$37003,"9*",'Accounting data'!$J$2:$J$37003,"22*",'Accounting data'!$K$2:$K$37003,"65*")</f>
        <v>0</v>
      </c>
    </row>
    <row r="274" spans="1:5" x14ac:dyDescent="0.25">
      <c r="A274" s="556"/>
      <c r="B274" s="556"/>
      <c r="C274" s="556"/>
      <c r="D274" s="556"/>
      <c r="E274" s="557"/>
    </row>
    <row r="275" spans="1:5" x14ac:dyDescent="0.25">
      <c r="A275" s="556"/>
      <c r="B275" s="556"/>
      <c r="C275" s="556"/>
      <c r="D275" s="556"/>
      <c r="E275" s="557"/>
    </row>
    <row r="276" spans="1:5" x14ac:dyDescent="0.25">
      <c r="A276" s="556"/>
      <c r="B276" s="556"/>
      <c r="C276" s="556"/>
      <c r="D276" s="556"/>
      <c r="E276" s="557"/>
    </row>
    <row r="277" spans="1:5" x14ac:dyDescent="0.25">
      <c r="A277" s="556"/>
      <c r="B277" s="556"/>
      <c r="C277" s="556"/>
      <c r="D277" s="556"/>
      <c r="E277" s="557"/>
    </row>
    <row r="278" spans="1:5" x14ac:dyDescent="0.25">
      <c r="A278" s="556"/>
      <c r="B278" s="556"/>
      <c r="C278" s="556"/>
      <c r="D278" s="556"/>
      <c r="E278" s="557"/>
    </row>
    <row r="279" spans="1:5" x14ac:dyDescent="0.25">
      <c r="A279" s="556"/>
      <c r="B279" s="556"/>
      <c r="C279" s="556"/>
      <c r="D279" s="556"/>
      <c r="E279" s="557"/>
    </row>
    <row r="280" spans="1:5" x14ac:dyDescent="0.25">
      <c r="A280" s="556"/>
      <c r="B280" s="556"/>
      <c r="C280" s="556"/>
      <c r="D280" s="556"/>
      <c r="E280" s="557"/>
    </row>
    <row r="281" spans="1:5" x14ac:dyDescent="0.25">
      <c r="A281" s="556"/>
      <c r="B281" s="556"/>
      <c r="C281" s="556"/>
      <c r="D281" s="556"/>
      <c r="E281" s="557"/>
    </row>
    <row r="282" spans="1:5" x14ac:dyDescent="0.25">
      <c r="A282" s="556"/>
      <c r="B282" s="556"/>
      <c r="C282" s="556"/>
      <c r="D282" s="556"/>
      <c r="E282" s="557"/>
    </row>
    <row r="283" spans="1:5" x14ac:dyDescent="0.25">
      <c r="A283" s="558"/>
      <c r="B283" s="556"/>
      <c r="C283" s="556"/>
      <c r="D283" s="556"/>
      <c r="E283" s="557"/>
    </row>
    <row r="284" spans="1:5" x14ac:dyDescent="0.25">
      <c r="A284" s="556"/>
      <c r="B284" s="556"/>
      <c r="C284" s="556"/>
      <c r="D284" s="556"/>
      <c r="E284" s="557"/>
    </row>
    <row r="285" spans="1:5" x14ac:dyDescent="0.25">
      <c r="A285" s="556"/>
      <c r="B285" s="556"/>
      <c r="C285" s="556"/>
      <c r="D285" s="556"/>
      <c r="E285" s="557"/>
    </row>
    <row r="286" spans="1:5" x14ac:dyDescent="0.25">
      <c r="A286" s="556"/>
      <c r="B286" s="556"/>
      <c r="C286" s="556"/>
      <c r="D286" s="556"/>
      <c r="E286" s="557"/>
    </row>
    <row r="287" spans="1:5" x14ac:dyDescent="0.25">
      <c r="A287" s="556"/>
      <c r="B287" s="556"/>
      <c r="C287" s="556"/>
      <c r="D287" s="556"/>
      <c r="E287" s="557"/>
    </row>
    <row r="288" spans="1:5" x14ac:dyDescent="0.25">
      <c r="A288" s="556"/>
      <c r="B288" s="556"/>
      <c r="C288" s="556"/>
      <c r="D288" s="556"/>
      <c r="E288" s="557"/>
    </row>
    <row r="289" spans="1:5" x14ac:dyDescent="0.25">
      <c r="A289" s="558"/>
      <c r="B289" s="556"/>
      <c r="C289" s="556"/>
      <c r="D289" s="556"/>
      <c r="E289" s="557"/>
    </row>
    <row r="290" spans="1:5" x14ac:dyDescent="0.25">
      <c r="A290" s="556"/>
      <c r="B290" s="556"/>
      <c r="C290" s="556"/>
      <c r="D290" s="556"/>
      <c r="E290" s="557"/>
    </row>
    <row r="291" spans="1:5" x14ac:dyDescent="0.25">
      <c r="A291" s="556"/>
      <c r="B291" s="556"/>
      <c r="C291" s="556"/>
      <c r="D291" s="556"/>
      <c r="E291" s="557"/>
    </row>
    <row r="292" spans="1:5" x14ac:dyDescent="0.25">
      <c r="A292" s="559" t="s">
        <v>1045</v>
      </c>
      <c r="B292" s="559"/>
      <c r="C292" s="559"/>
      <c r="D292" s="559"/>
      <c r="E292" s="561">
        <f>((E266-E267-E268-E269-E270)+(E271+E272+E273+E274+E275+E276+E277+E278+E279))-((E280-E281-E282)+(E283+E284+E285))-((E286-E287-E288)+(E289+E290+E291))</f>
        <v>0</v>
      </c>
    </row>
    <row r="293" spans="1:5" x14ac:dyDescent="0.25">
      <c r="A293" s="556" t="s">
        <v>1010</v>
      </c>
      <c r="B293" s="556" t="s">
        <v>1010</v>
      </c>
      <c r="C293" s="556">
        <v>2300</v>
      </c>
      <c r="D293" s="565" t="s">
        <v>1042</v>
      </c>
      <c r="E293" s="557">
        <f>SUMIFS('Accounting data'!$G$2:$G$37003,'Accounting data'!$J$2:$J$37003,"23*",'Accounting data'!$K$2:$K$37003,"63*")+SUMIFS('Accounting data'!$G$2:$G$37003,'Accounting data'!$J$2:$J$37003,"23*",'Accounting data'!$K$2:$K$37003,"64*")+SUMIFS('Accounting data'!$G$2:$G$37003,'Accounting data'!$J$2:$J$37003,"23*",'Accounting data'!$K$2:$K$37003,"65*")</f>
        <v>0</v>
      </c>
    </row>
    <row r="294" spans="1:5" x14ac:dyDescent="0.25">
      <c r="A294" s="556" t="s">
        <v>1011</v>
      </c>
      <c r="B294" s="556" t="s">
        <v>1010</v>
      </c>
      <c r="C294" s="556">
        <v>2300</v>
      </c>
      <c r="D294" s="556">
        <v>6300</v>
      </c>
      <c r="E294" s="557">
        <f>SUMIFS('Accounting data'!$G$2:$G$37003,'Accounting data'!$H$2:$H$37003,"9999*",'Accounting data'!$J$2:$J$37003,"23*",'Accounting data'!$K$2:$K$37003,"63*")</f>
        <v>0</v>
      </c>
    </row>
    <row r="295" spans="1:5" x14ac:dyDescent="0.25">
      <c r="A295" s="556" t="s">
        <v>1011</v>
      </c>
      <c r="B295" s="556" t="s">
        <v>1010</v>
      </c>
      <c r="C295" s="556">
        <v>2300</v>
      </c>
      <c r="D295" s="556">
        <v>6400</v>
      </c>
      <c r="E295" s="557">
        <f>SUMIFS('Accounting data'!$G$2:$G$37003,'Accounting data'!$H$2:$H$37003,"9999*",'Accounting data'!$J$2:$J$37003,"23*",'Accounting data'!$K$2:$K$37003,"64*")</f>
        <v>0</v>
      </c>
    </row>
    <row r="296" spans="1:5" x14ac:dyDescent="0.25">
      <c r="A296" s="556" t="s">
        <v>1011</v>
      </c>
      <c r="B296" s="556" t="s">
        <v>1010</v>
      </c>
      <c r="C296" s="556">
        <v>2300</v>
      </c>
      <c r="D296" s="556">
        <v>6500</v>
      </c>
      <c r="E296" s="557">
        <f>SUMIFS('Accounting data'!$G$2:$G$37003,'Accounting data'!$H$2:$H$37003,"9999*",'Accounting data'!$J$2:$J$37003,"23*",'Accounting data'!$K$2:$K$37003,"65*")</f>
        <v>0</v>
      </c>
    </row>
    <row r="297" spans="1:5" x14ac:dyDescent="0.25">
      <c r="A297" s="556" t="s">
        <v>1010</v>
      </c>
      <c r="B297" s="556" t="s">
        <v>1012</v>
      </c>
      <c r="C297" s="556">
        <v>2300</v>
      </c>
      <c r="D297" s="565" t="s">
        <v>1042</v>
      </c>
      <c r="E297" s="557">
        <f>SUMIFS('Accounting data'!$G$2:$G$37003,'Accounting data'!$I$2:$I$37003,"7*",'Accounting data'!$J$2:$J$37003,"23*",'Accounting data'!$K$2:$K$37003,"63*")+SUMIFS('Accounting data'!$G$2:$G$37003,'Accounting data'!$I$2:$I$37003,"8*",'Accounting data'!$J$2:$J$37003,"23*",'Accounting data'!$K$2:$K$37003,"63*")+SUMIFS('Accounting data'!$G$2:$G$37003,'Accounting data'!$I$2:$I$37003,"9*",'Accounting data'!$J$2:$J$37003,"23*",'Accounting data'!$K$2:$K$37003,"63*")+SUMIFS('Accounting data'!$G$2:$G$37003,'Accounting data'!$I$2:$I$37003,"7*",'Accounting data'!$J$2:$J$37003,"23*",'Accounting data'!$K$2:$K$37003,"64*")+SUMIFS('Accounting data'!$G$2:$G$37003,'Accounting data'!$I$2:$I$37003,"8*",'Accounting data'!$J$2:$J$37003,"23*",'Accounting data'!$K$2:$K$37003,"64*")+SUMIFS('Accounting data'!$G$2:$G$37003,'Accounting data'!$I$2:$I$37003,"9*",'Accounting data'!$J$2:$J$37003,"23*",'Accounting data'!$K$2:$K$37003,"64*")+SUMIFS('Accounting data'!$G$2:$G$37003,'Accounting data'!$I$2:$I$37003,"7*",'Accounting data'!$J$2:$J$37003,"23*",'Accounting data'!$K$2:$K$37003,"65*")+SUMIFS('Accounting data'!$G$2:$G$37003,'Accounting data'!$I$2:$I$37003,"8*",'Accounting data'!$J$2:$J$37003,"23*",'Accounting data'!$K$2:$K$37003,"65*")+SUMIFS('Accounting data'!$G$2:$G$37003,'Accounting data'!$I$2:$I$37003,"9*",'Accounting data'!$J$2:$J$37003,"23*",'Accounting data'!$K$2:$K$37003,"65*")</f>
        <v>0</v>
      </c>
    </row>
    <row r="298" spans="1:5" x14ac:dyDescent="0.25">
      <c r="A298" s="558" t="s">
        <v>1011</v>
      </c>
      <c r="B298" s="556" t="s">
        <v>1012</v>
      </c>
      <c r="C298" s="556">
        <v>2300</v>
      </c>
      <c r="D298" s="556">
        <v>6300</v>
      </c>
      <c r="E298" s="557">
        <f>SUMIFS('Accounting data'!$G$2:$G$37003,'Accounting data'!$H$2:$H$37003,"9999*",'Accounting data'!$I$2:$I$37003,"7*",'Accounting data'!$J$2:$J$37003,"23*",'Accounting data'!$K$2:$K$37003,"63*")+SUMIFS('Accounting data'!$G$2:$G$37003,'Accounting data'!$H$2:$H$37003,"9999*",'Accounting data'!$I$2:$I$37003,"8*",'Accounting data'!$J$2:$J$37003,"23*",'Accounting data'!$K$2:$K$37003,"63*")+SUMIFS('Accounting data'!$G$2:$G$37003,'Accounting data'!$H$2:$H$37003,"9999*",'Accounting data'!$I$2:$I$37003,"9*",'Accounting data'!$J$2:$J$37003,"23*",'Accounting data'!$K$2:$K$37003,"63*")</f>
        <v>0</v>
      </c>
    </row>
    <row r="299" spans="1:5" x14ac:dyDescent="0.25">
      <c r="A299" s="558" t="s">
        <v>1011</v>
      </c>
      <c r="B299" s="556" t="s">
        <v>1012</v>
      </c>
      <c r="C299" s="556">
        <v>2300</v>
      </c>
      <c r="D299" s="556">
        <v>6400</v>
      </c>
      <c r="E299" s="557">
        <f>SUMIFS('Accounting data'!$G$2:$G$37003,'Accounting data'!$H$2:$H$37003,"9999*",'Accounting data'!$I$2:$I$37003,"7*",'Accounting data'!$J$2:$J$37003,"23*",'Accounting data'!$K$2:$K$37003,"64*")+SUMIFS('Accounting data'!$G$2:$G$37003,'Accounting data'!$H$2:$H$37003,"9999*",'Accounting data'!$I$2:$I$37003,"8*",'Accounting data'!$J$2:$J$37003,"23*",'Accounting data'!$K$2:$K$37003,"64*")+SUMIFS('Accounting data'!$G$2:$G$37003,'Accounting data'!$H$2:$H$37003,"9999*",'Accounting data'!$I$2:$I$37003,"9*",'Accounting data'!$J$2:$J$37003,"23*",'Accounting data'!$K$2:$K$37003,"64*")</f>
        <v>0</v>
      </c>
    </row>
    <row r="300" spans="1:5" x14ac:dyDescent="0.25">
      <c r="A300" s="558" t="s">
        <v>1011</v>
      </c>
      <c r="B300" s="556" t="s">
        <v>1012</v>
      </c>
      <c r="C300" s="556">
        <v>2300</v>
      </c>
      <c r="D300" s="556">
        <v>6500</v>
      </c>
      <c r="E300" s="557">
        <f>SUMIFS('Accounting data'!$G$2:$G$37003,'Accounting data'!$H$2:$H$37003,"9999*",'Accounting data'!$I$2:$I$37003,"7*",'Accounting data'!$J$2:$J$37003,"23*",'Accounting data'!$K$2:$K$37003,"65*")+SUMIFS('Accounting data'!$G$2:$G$37003,'Accounting data'!$H$2:$H$37003,"9999*",'Accounting data'!$I$2:$I$37003,"8*",'Accounting data'!$J$2:$J$37003,"23*",'Accounting data'!$K$2:$K$37003,"65*")+SUMIFS('Accounting data'!$G$2:$G$37003,'Accounting data'!$H$2:$H$37003,"9999*",'Accounting data'!$I$2:$I$37003,"9*",'Accounting data'!$J$2:$J$37003,"23*",'Accounting data'!$K$2:$K$37003,"65*")</f>
        <v>0</v>
      </c>
    </row>
    <row r="301" spans="1:5" x14ac:dyDescent="0.25">
      <c r="A301" s="556"/>
      <c r="B301" s="556"/>
      <c r="C301" s="556"/>
      <c r="D301" s="556"/>
      <c r="E301" s="557"/>
    </row>
    <row r="302" spans="1:5" x14ac:dyDescent="0.25">
      <c r="A302" s="556"/>
      <c r="B302" s="556"/>
      <c r="C302" s="556"/>
      <c r="D302" s="556"/>
      <c r="E302" s="557"/>
    </row>
    <row r="303" spans="1:5" x14ac:dyDescent="0.25">
      <c r="A303" s="556"/>
      <c r="B303" s="556"/>
      <c r="C303" s="556"/>
      <c r="D303" s="556"/>
      <c r="E303" s="557"/>
    </row>
    <row r="304" spans="1:5" x14ac:dyDescent="0.25">
      <c r="A304" s="556"/>
      <c r="B304" s="556"/>
      <c r="C304" s="556"/>
      <c r="D304" s="556"/>
      <c r="E304" s="557"/>
    </row>
    <row r="305" spans="1:5" x14ac:dyDescent="0.25">
      <c r="A305" s="556"/>
      <c r="B305" s="556"/>
      <c r="C305" s="556"/>
      <c r="D305" s="556"/>
      <c r="E305" s="557"/>
    </row>
    <row r="306" spans="1:5" x14ac:dyDescent="0.25">
      <c r="A306" s="556"/>
      <c r="B306" s="556"/>
      <c r="C306" s="556"/>
      <c r="D306" s="556"/>
      <c r="E306" s="557"/>
    </row>
    <row r="307" spans="1:5" x14ac:dyDescent="0.25">
      <c r="A307" s="556"/>
      <c r="B307" s="556"/>
      <c r="C307" s="556"/>
      <c r="D307" s="556"/>
      <c r="E307" s="557"/>
    </row>
    <row r="308" spans="1:5" x14ac:dyDescent="0.25">
      <c r="A308" s="556"/>
      <c r="B308" s="556"/>
      <c r="C308" s="556"/>
      <c r="D308" s="556"/>
      <c r="E308" s="557"/>
    </row>
    <row r="309" spans="1:5" x14ac:dyDescent="0.25">
      <c r="A309" s="556"/>
      <c r="B309" s="556"/>
      <c r="C309" s="556"/>
      <c r="D309" s="556"/>
      <c r="E309" s="557"/>
    </row>
    <row r="310" spans="1:5" x14ac:dyDescent="0.25">
      <c r="A310" s="558"/>
      <c r="B310" s="556"/>
      <c r="C310" s="556"/>
      <c r="D310" s="556"/>
      <c r="E310" s="557"/>
    </row>
    <row r="311" spans="1:5" x14ac:dyDescent="0.25">
      <c r="A311" s="556"/>
      <c r="B311" s="556"/>
      <c r="C311" s="556"/>
      <c r="D311" s="556"/>
      <c r="E311" s="557"/>
    </row>
    <row r="312" spans="1:5" x14ac:dyDescent="0.25">
      <c r="A312" s="556"/>
      <c r="B312" s="556"/>
      <c r="C312" s="556"/>
      <c r="D312" s="556"/>
      <c r="E312" s="557"/>
    </row>
    <row r="313" spans="1:5" x14ac:dyDescent="0.25">
      <c r="A313" s="556"/>
      <c r="B313" s="556"/>
      <c r="C313" s="556"/>
      <c r="D313" s="556"/>
      <c r="E313" s="557"/>
    </row>
    <row r="314" spans="1:5" x14ac:dyDescent="0.25">
      <c r="A314" s="556"/>
      <c r="B314" s="556"/>
      <c r="C314" s="556"/>
      <c r="D314" s="556"/>
      <c r="E314" s="557"/>
    </row>
    <row r="315" spans="1:5" x14ac:dyDescent="0.25">
      <c r="A315" s="556"/>
      <c r="B315" s="556"/>
      <c r="C315" s="556"/>
      <c r="D315" s="556"/>
      <c r="E315" s="557"/>
    </row>
    <row r="316" spans="1:5" x14ac:dyDescent="0.25">
      <c r="A316" s="558"/>
      <c r="B316" s="556"/>
      <c r="C316" s="556"/>
      <c r="D316" s="556"/>
      <c r="E316" s="557"/>
    </row>
    <row r="317" spans="1:5" x14ac:dyDescent="0.25">
      <c r="A317" s="556"/>
      <c r="B317" s="556"/>
      <c r="C317" s="556"/>
      <c r="D317" s="556"/>
      <c r="E317" s="557"/>
    </row>
    <row r="318" spans="1:5" x14ac:dyDescent="0.25">
      <c r="A318" s="556"/>
      <c r="B318" s="556"/>
      <c r="C318" s="556"/>
      <c r="D318" s="556"/>
      <c r="E318" s="557"/>
    </row>
    <row r="319" spans="1:5" x14ac:dyDescent="0.25">
      <c r="A319" s="559" t="s">
        <v>1046</v>
      </c>
      <c r="B319" s="559"/>
      <c r="C319" s="559"/>
      <c r="D319" s="559"/>
      <c r="E319" s="561">
        <f>((E293-E294-E295-E296-E297)+(E298+E299+E300+E301+E302+E303+E304+E305+E306))-((E307-E308-E309)+(E310+E311+E312))-((E313-E314-E315)+(E316+E317+E318))</f>
        <v>0</v>
      </c>
    </row>
    <row r="320" spans="1:5" x14ac:dyDescent="0.25">
      <c r="A320" s="556" t="s">
        <v>1010</v>
      </c>
      <c r="B320" s="556" t="s">
        <v>1010</v>
      </c>
      <c r="C320" s="556">
        <v>2400</v>
      </c>
      <c r="D320" s="565" t="s">
        <v>1042</v>
      </c>
      <c r="E320" s="557">
        <f>SUMIFS('Accounting data'!$G$2:$G$37003,'Accounting data'!$J$2:$J$37003,"24*",'Accounting data'!$K$2:$K$37003,"63*")+SUMIFS('Accounting data'!$G$2:$G$37003,'Accounting data'!$J$2:$J$37003,"24*",'Accounting data'!$K$2:$K$37003,"64*")+SUMIFS('Accounting data'!$G$2:$G$37003,'Accounting data'!$J$2:$J$37003,"24*",'Accounting data'!$K$2:$K$37003,"65*")</f>
        <v>6550</v>
      </c>
    </row>
    <row r="321" spans="1:5" x14ac:dyDescent="0.25">
      <c r="A321" s="556" t="s">
        <v>1011</v>
      </c>
      <c r="B321" s="556" t="s">
        <v>1010</v>
      </c>
      <c r="C321" s="556">
        <v>2400</v>
      </c>
      <c r="D321" s="556">
        <v>6300</v>
      </c>
      <c r="E321" s="557">
        <f>SUMIFS('Accounting data'!$G$2:$G$37003,'Accounting data'!$H$2:$H$37003,"9999*",'Accounting data'!$J$2:$J$37003,"24*",'Accounting data'!$K$2:$K$37003,"63*")</f>
        <v>0</v>
      </c>
    </row>
    <row r="322" spans="1:5" x14ac:dyDescent="0.25">
      <c r="A322" s="556" t="s">
        <v>1011</v>
      </c>
      <c r="B322" s="556" t="s">
        <v>1010</v>
      </c>
      <c r="C322" s="556">
        <v>2400</v>
      </c>
      <c r="D322" s="556">
        <v>6400</v>
      </c>
      <c r="E322" s="557">
        <f>SUMIFS('Accounting data'!$G$2:$G$37003,'Accounting data'!$H$2:$H$37003,"9999*",'Accounting data'!$J$2:$J$37003,"24*",'Accounting data'!$K$2:$K$37003,"64*")</f>
        <v>0</v>
      </c>
    </row>
    <row r="323" spans="1:5" x14ac:dyDescent="0.25">
      <c r="A323" s="556" t="s">
        <v>1011</v>
      </c>
      <c r="B323" s="556" t="s">
        <v>1010</v>
      </c>
      <c r="C323" s="556">
        <v>2400</v>
      </c>
      <c r="D323" s="556">
        <v>6500</v>
      </c>
      <c r="E323" s="557">
        <f>SUMIFS('Accounting data'!$G$2:$G$37003,'Accounting data'!$H$2:$H$37003,"9999*",'Accounting data'!$J$2:$J$37003,"24*",'Accounting data'!$K$2:$K$37003,"65*")</f>
        <v>0</v>
      </c>
    </row>
    <row r="324" spans="1:5" x14ac:dyDescent="0.25">
      <c r="A324" s="556" t="s">
        <v>1010</v>
      </c>
      <c r="B324" s="556" t="s">
        <v>1012</v>
      </c>
      <c r="C324" s="556">
        <v>2400</v>
      </c>
      <c r="D324" s="565" t="s">
        <v>1042</v>
      </c>
      <c r="E324" s="557">
        <f>SUMIFS('Accounting data'!$G$2:$G$37003,'Accounting data'!$I$2:$I$37003,"7*",'Accounting data'!$J$2:$J$37003,"24*",'Accounting data'!$K$2:$K$37003,"63*")+SUMIFS('Accounting data'!$G$2:$G$37003,'Accounting data'!$I$2:$I$37003,"8*",'Accounting data'!$J$2:$J$37003,"24*",'Accounting data'!$K$2:$K$37003,"63*")+SUMIFS('Accounting data'!$G$2:$G$37003,'Accounting data'!$I$2:$I$37003,"9*",'Accounting data'!$J$2:$J$37003,"24*",'Accounting data'!$K$2:$K$37003,"63*")+SUMIFS('Accounting data'!$G$2:$G$37003,'Accounting data'!$I$2:$I$37003,"7*",'Accounting data'!$J$2:$J$37003,"24*",'Accounting data'!$K$2:$K$37003,"64*")+SUMIFS('Accounting data'!$G$2:$G$37003,'Accounting data'!$I$2:$I$37003,"8*",'Accounting data'!$J$2:$J$37003,"24*",'Accounting data'!$K$2:$K$37003,"64*")+SUMIFS('Accounting data'!$G$2:$G$37003,'Accounting data'!$I$2:$I$37003,"9*",'Accounting data'!$J$2:$J$37003,"24*",'Accounting data'!$K$2:$K$37003,"64*")+SUMIFS('Accounting data'!$G$2:$G$37003,'Accounting data'!$I$2:$I$37003,"7*",'Accounting data'!$J$2:$J$37003,"24*",'Accounting data'!$K$2:$K$37003,"65*")+SUMIFS('Accounting data'!$G$2:$G$37003,'Accounting data'!$I$2:$I$37003,"8*",'Accounting data'!$J$2:$J$37003,"24*",'Accounting data'!$K$2:$K$37003,"65*")+SUMIFS('Accounting data'!$G$2:$G$37003,'Accounting data'!$I$2:$I$37003,"9*",'Accounting data'!$J$2:$J$37003,"24*",'Accounting data'!$K$2:$K$37003,"65*")</f>
        <v>0</v>
      </c>
    </row>
    <row r="325" spans="1:5" x14ac:dyDescent="0.25">
      <c r="A325" s="558" t="s">
        <v>1011</v>
      </c>
      <c r="B325" s="556" t="s">
        <v>1012</v>
      </c>
      <c r="C325" s="556">
        <v>2400</v>
      </c>
      <c r="D325" s="556">
        <v>6300</v>
      </c>
      <c r="E325" s="557">
        <f>SUMIFS('Accounting data'!$G$2:$G$37003,'Accounting data'!$H$2:$H$37003,"9999*",'Accounting data'!$I$2:$I$37003,"7*",'Accounting data'!$J$2:$J$37003,"24*",'Accounting data'!$K$2:$K$37003,"63*")+SUMIFS('Accounting data'!$G$2:$G$37003,'Accounting data'!$H$2:$H$37003,"9999*",'Accounting data'!$I$2:$I$37003,"8*",'Accounting data'!$J$2:$J$37003,"24*",'Accounting data'!$K$2:$K$37003,"63*")+SUMIFS('Accounting data'!$G$2:$G$37003,'Accounting data'!$H$2:$H$37003,"9999*",'Accounting data'!$I$2:$I$37003,"9*",'Accounting data'!$J$2:$J$37003,"24*",'Accounting data'!$K$2:$K$37003,"63*")</f>
        <v>0</v>
      </c>
    </row>
    <row r="326" spans="1:5" x14ac:dyDescent="0.25">
      <c r="A326" s="558" t="s">
        <v>1011</v>
      </c>
      <c r="B326" s="556" t="s">
        <v>1012</v>
      </c>
      <c r="C326" s="556">
        <v>2400</v>
      </c>
      <c r="D326" s="556">
        <v>6400</v>
      </c>
      <c r="E326" s="557">
        <f>SUMIFS('Accounting data'!$G$2:$G$37003,'Accounting data'!$H$2:$H$37003,"9999*",'Accounting data'!$I$2:$I$37003,"7*",'Accounting data'!$J$2:$J$37003,"24*",'Accounting data'!$K$2:$K$37003,"64*")+SUMIFS('Accounting data'!$G$2:$G$37003,'Accounting data'!$H$2:$H$37003,"9999*",'Accounting data'!$I$2:$I$37003,"8*",'Accounting data'!$J$2:$J$37003,"24*",'Accounting data'!$K$2:$K$37003,"64*")+SUMIFS('Accounting data'!$G$2:$G$37003,'Accounting data'!$H$2:$H$37003,"9999*",'Accounting data'!$I$2:$I$37003,"9*",'Accounting data'!$J$2:$J$37003,"24*",'Accounting data'!$K$2:$K$37003,"64*")</f>
        <v>0</v>
      </c>
    </row>
    <row r="327" spans="1:5" x14ac:dyDescent="0.25">
      <c r="A327" s="558" t="s">
        <v>1011</v>
      </c>
      <c r="B327" s="556" t="s">
        <v>1012</v>
      </c>
      <c r="C327" s="556">
        <v>2400</v>
      </c>
      <c r="D327" s="556">
        <v>6500</v>
      </c>
      <c r="E327" s="557">
        <f>SUMIFS('Accounting data'!$G$2:$G$37003,'Accounting data'!$H$2:$H$37003,"9999*",'Accounting data'!$I$2:$I$37003,"7*",'Accounting data'!$J$2:$J$37003,"24*",'Accounting data'!$K$2:$K$37003,"65*")+SUMIFS('Accounting data'!$G$2:$G$37003,'Accounting data'!$H$2:$H$37003,"9999*",'Accounting data'!$I$2:$I$37003,"8*",'Accounting data'!$J$2:$J$37003,"24*",'Accounting data'!$K$2:$K$37003,"65*")+SUMIFS('Accounting data'!$G$2:$G$37003,'Accounting data'!$H$2:$H$37003,"9999*",'Accounting data'!$I$2:$I$37003,"9*",'Accounting data'!$J$2:$J$37003,"24*",'Accounting data'!$K$2:$K$37003,"65*")</f>
        <v>0</v>
      </c>
    </row>
    <row r="328" spans="1:5" x14ac:dyDescent="0.25">
      <c r="A328" s="556"/>
      <c r="B328" s="556"/>
      <c r="C328" s="556"/>
      <c r="D328" s="556"/>
      <c r="E328" s="557"/>
    </row>
    <row r="329" spans="1:5" x14ac:dyDescent="0.25">
      <c r="A329" s="556"/>
      <c r="B329" s="556"/>
      <c r="C329" s="556"/>
      <c r="D329" s="556"/>
      <c r="E329" s="557"/>
    </row>
    <row r="330" spans="1:5" x14ac:dyDescent="0.25">
      <c r="A330" s="556"/>
      <c r="B330" s="556"/>
      <c r="C330" s="556"/>
      <c r="D330" s="556"/>
      <c r="E330" s="557"/>
    </row>
    <row r="331" spans="1:5" x14ac:dyDescent="0.25">
      <c r="A331" s="556"/>
      <c r="B331" s="556"/>
      <c r="C331" s="556"/>
      <c r="D331" s="556"/>
      <c r="E331" s="557"/>
    </row>
    <row r="332" spans="1:5" x14ac:dyDescent="0.25">
      <c r="A332" s="556"/>
      <c r="B332" s="556"/>
      <c r="C332" s="556"/>
      <c r="D332" s="556"/>
      <c r="E332" s="557"/>
    </row>
    <row r="333" spans="1:5" x14ac:dyDescent="0.25">
      <c r="A333" s="556"/>
      <c r="B333" s="556"/>
      <c r="C333" s="556"/>
      <c r="D333" s="556"/>
      <c r="E333" s="557"/>
    </row>
    <row r="334" spans="1:5" x14ac:dyDescent="0.25">
      <c r="A334" s="556"/>
      <c r="B334" s="556"/>
      <c r="C334" s="556"/>
      <c r="D334" s="556"/>
      <c r="E334" s="557"/>
    </row>
    <row r="335" spans="1:5" x14ac:dyDescent="0.25">
      <c r="A335" s="556"/>
      <c r="B335" s="556"/>
      <c r="C335" s="556"/>
      <c r="D335" s="556"/>
      <c r="E335" s="557"/>
    </row>
    <row r="336" spans="1:5" x14ac:dyDescent="0.25">
      <c r="A336" s="556"/>
      <c r="B336" s="556"/>
      <c r="C336" s="556"/>
      <c r="D336" s="556"/>
      <c r="E336" s="557"/>
    </row>
    <row r="337" spans="1:5" x14ac:dyDescent="0.25">
      <c r="A337" s="558"/>
      <c r="B337" s="556"/>
      <c r="C337" s="556"/>
      <c r="D337" s="556"/>
      <c r="E337" s="557"/>
    </row>
    <row r="338" spans="1:5" x14ac:dyDescent="0.25">
      <c r="A338" s="556"/>
      <c r="B338" s="556"/>
      <c r="C338" s="556"/>
      <c r="D338" s="556"/>
      <c r="E338" s="557"/>
    </row>
    <row r="339" spans="1:5" x14ac:dyDescent="0.25">
      <c r="A339" s="556"/>
      <c r="B339" s="556"/>
      <c r="C339" s="556"/>
      <c r="D339" s="556"/>
      <c r="E339" s="557"/>
    </row>
    <row r="340" spans="1:5" x14ac:dyDescent="0.25">
      <c r="A340" s="556"/>
      <c r="B340" s="556"/>
      <c r="C340" s="556"/>
      <c r="D340" s="556"/>
      <c r="E340" s="557"/>
    </row>
    <row r="341" spans="1:5" x14ac:dyDescent="0.25">
      <c r="A341" s="556"/>
      <c r="B341" s="556"/>
      <c r="C341" s="556"/>
      <c r="D341" s="556"/>
      <c r="E341" s="557"/>
    </row>
    <row r="342" spans="1:5" x14ac:dyDescent="0.25">
      <c r="A342" s="556"/>
      <c r="B342" s="556"/>
      <c r="C342" s="556"/>
      <c r="D342" s="556"/>
      <c r="E342" s="557"/>
    </row>
    <row r="343" spans="1:5" x14ac:dyDescent="0.25">
      <c r="A343" s="558"/>
      <c r="B343" s="556"/>
      <c r="C343" s="556"/>
      <c r="D343" s="556"/>
      <c r="E343" s="557"/>
    </row>
    <row r="344" spans="1:5" x14ac:dyDescent="0.25">
      <c r="A344" s="556"/>
      <c r="B344" s="556"/>
      <c r="C344" s="556"/>
      <c r="D344" s="556"/>
      <c r="E344" s="557"/>
    </row>
    <row r="345" spans="1:5" x14ac:dyDescent="0.25">
      <c r="A345" s="556"/>
      <c r="B345" s="556"/>
      <c r="C345" s="556"/>
      <c r="D345" s="556"/>
      <c r="E345" s="557"/>
    </row>
    <row r="346" spans="1:5" x14ac:dyDescent="0.25">
      <c r="A346" s="559" t="s">
        <v>1047</v>
      </c>
      <c r="B346" s="559"/>
      <c r="C346" s="559"/>
      <c r="D346" s="559"/>
      <c r="E346" s="561">
        <f>((E320-E321-E322-E323-E324)+(E325+E326+E327+E328+E329+E330+E331+E332+E333))-((E334-E335-E336)+(E337+E338+E339))-((E340-E341-E342)+(E343+E344+E345))</f>
        <v>6550</v>
      </c>
    </row>
    <row r="347" spans="1:5" x14ac:dyDescent="0.25">
      <c r="A347" s="556" t="s">
        <v>1010</v>
      </c>
      <c r="B347" s="556" t="s">
        <v>1010</v>
      </c>
      <c r="C347" s="556">
        <v>2500</v>
      </c>
      <c r="D347" s="565" t="s">
        <v>1042</v>
      </c>
      <c r="E347" s="557">
        <f>SUMIFS('Accounting data'!$G$2:$G$37003,'Accounting data'!$J$2:$J$37003,"25*",'Accounting data'!$K$2:$K$37003,"63*")+SUMIFS('Accounting data'!$G$2:$G$37003,'Accounting data'!$J$2:$J$37003,"25*",'Accounting data'!$K$2:$K$37003,"64*")+SUMIFS('Accounting data'!$G$2:$G$37003,'Accounting data'!$J$2:$J$37003,"25*",'Accounting data'!$K$2:$K$37003,"65*")</f>
        <v>0</v>
      </c>
    </row>
    <row r="348" spans="1:5" x14ac:dyDescent="0.25">
      <c r="A348" s="556" t="s">
        <v>1011</v>
      </c>
      <c r="B348" s="556" t="s">
        <v>1010</v>
      </c>
      <c r="C348" s="556">
        <v>2500</v>
      </c>
      <c r="D348" s="556">
        <v>6300</v>
      </c>
      <c r="E348" s="557">
        <f>SUMIFS('Accounting data'!$G$2:$G$37003,'Accounting data'!$H$2:$H$37003,"9999*",'Accounting data'!$J$2:$J$37003,"25*",'Accounting data'!$K$2:$K$37003,"63*")</f>
        <v>0</v>
      </c>
    </row>
    <row r="349" spans="1:5" x14ac:dyDescent="0.25">
      <c r="A349" s="556" t="s">
        <v>1011</v>
      </c>
      <c r="B349" s="556" t="s">
        <v>1010</v>
      </c>
      <c r="C349" s="556">
        <v>2500</v>
      </c>
      <c r="D349" s="556">
        <v>6400</v>
      </c>
      <c r="E349" s="557">
        <f>SUMIFS('Accounting data'!$G$2:$G$37003,'Accounting data'!$H$2:$H$37003,"9999*",'Accounting data'!$J$2:$J$37003,"25*",'Accounting data'!$K$2:$K$37003,"64*")</f>
        <v>0</v>
      </c>
    </row>
    <row r="350" spans="1:5" x14ac:dyDescent="0.25">
      <c r="A350" s="556" t="s">
        <v>1011</v>
      </c>
      <c r="B350" s="556" t="s">
        <v>1010</v>
      </c>
      <c r="C350" s="556">
        <v>2500</v>
      </c>
      <c r="D350" s="556">
        <v>6500</v>
      </c>
      <c r="E350" s="557">
        <f>SUMIFS('Accounting data'!$G$2:$G$37003,'Accounting data'!$H$2:$H$37003,"9999*",'Accounting data'!$J$2:$J$37003,"25*",'Accounting data'!$K$2:$K$37003,"65*")</f>
        <v>0</v>
      </c>
    </row>
    <row r="351" spans="1:5" x14ac:dyDescent="0.25">
      <c r="A351" s="556" t="s">
        <v>1010</v>
      </c>
      <c r="B351" s="556" t="s">
        <v>1012</v>
      </c>
      <c r="C351" s="556">
        <v>2500</v>
      </c>
      <c r="D351" s="565" t="s">
        <v>1042</v>
      </c>
      <c r="E351" s="557">
        <f>SUMIFS('Accounting data'!$G$2:$G$37003,'Accounting data'!$I$2:$I$37003,"7*",'Accounting data'!$J$2:$J$37003,"25*",'Accounting data'!$K$2:$K$37003,"63*")+SUMIFS('Accounting data'!$G$2:$G$37003,'Accounting data'!$I$2:$I$37003,"8*",'Accounting data'!$J$2:$J$37003,"25*",'Accounting data'!$K$2:$K$37003,"63*")+SUMIFS('Accounting data'!$G$2:$G$37003,'Accounting data'!$I$2:$I$37003,"9*",'Accounting data'!$J$2:$J$37003,"25*",'Accounting data'!$K$2:$K$37003,"63*")+SUMIFS('Accounting data'!$G$2:$G$37003,'Accounting data'!$I$2:$I$37003,"7*",'Accounting data'!$J$2:$J$37003,"25*",'Accounting data'!$K$2:$K$37003,"64*")+SUMIFS('Accounting data'!$G$2:$G$37003,'Accounting data'!$I$2:$I$37003,"8*",'Accounting data'!$J$2:$J$37003,"25*",'Accounting data'!$K$2:$K$37003,"64*")+SUMIFS('Accounting data'!$G$2:$G$37003,'Accounting data'!$I$2:$I$37003,"9*",'Accounting data'!$J$2:$J$37003,"25*",'Accounting data'!$K$2:$K$37003,"64*")+SUMIFS('Accounting data'!$G$2:$G$37003,'Accounting data'!$I$2:$I$37003,"7*",'Accounting data'!$J$2:$J$37003,"25*",'Accounting data'!$K$2:$K$37003,"65*")+SUMIFS('Accounting data'!$G$2:$G$37003,'Accounting data'!$I$2:$I$37003,"8*",'Accounting data'!$J$2:$J$37003,"25*",'Accounting data'!$K$2:$K$37003,"65*")+SUMIFS('Accounting data'!$G$2:$G$37003,'Accounting data'!$I$2:$I$37003,"9*",'Accounting data'!$J$2:$J$37003,"25*",'Accounting data'!$K$2:$K$37003,"65*")</f>
        <v>0</v>
      </c>
    </row>
    <row r="352" spans="1:5" x14ac:dyDescent="0.25">
      <c r="A352" s="558" t="s">
        <v>1011</v>
      </c>
      <c r="B352" s="556" t="s">
        <v>1012</v>
      </c>
      <c r="C352" s="556">
        <v>2500</v>
      </c>
      <c r="D352" s="556">
        <v>6300</v>
      </c>
      <c r="E352" s="557">
        <f>SUMIFS('Accounting data'!$G$2:$G$37003,'Accounting data'!$H$2:$H$37003,"9999*",'Accounting data'!$I$2:$I$37003,"7*",'Accounting data'!$J$2:$J$37003,"25*",'Accounting data'!$K$2:$K$37003,"63*")+SUMIFS('Accounting data'!$G$2:$G$37003,'Accounting data'!$H$2:$H$37003,"9999*",'Accounting data'!$I$2:$I$37003,"8*",'Accounting data'!$J$2:$J$37003,"25*",'Accounting data'!$K$2:$K$37003,"63*")+SUMIFS('Accounting data'!$G$2:$G$37003,'Accounting data'!$H$2:$H$37003,"9999*",'Accounting data'!$I$2:$I$37003,"9*",'Accounting data'!$J$2:$J$37003,"25*",'Accounting data'!$K$2:$K$37003,"63*")</f>
        <v>0</v>
      </c>
    </row>
    <row r="353" spans="1:5" x14ac:dyDescent="0.25">
      <c r="A353" s="558" t="s">
        <v>1011</v>
      </c>
      <c r="B353" s="556" t="s">
        <v>1012</v>
      </c>
      <c r="C353" s="556">
        <v>2500</v>
      </c>
      <c r="D353" s="556">
        <v>6400</v>
      </c>
      <c r="E353" s="557">
        <f>SUMIFS('Accounting data'!$G$2:$G$37003,'Accounting data'!$H$2:$H$37003,"9999*",'Accounting data'!$I$2:$I$37003,"7*",'Accounting data'!$J$2:$J$37003,"25*",'Accounting data'!$K$2:$K$37003,"64*")+SUMIFS('Accounting data'!$G$2:$G$37003,'Accounting data'!$H$2:$H$37003,"9999*",'Accounting data'!$I$2:$I$37003,"8*",'Accounting data'!$J$2:$J$37003,"25*",'Accounting data'!$K$2:$K$37003,"64*")+SUMIFS('Accounting data'!$G$2:$G$37003,'Accounting data'!$H$2:$H$37003,"9999*",'Accounting data'!$I$2:$I$37003,"9*",'Accounting data'!$J$2:$J$37003,"25*",'Accounting data'!$K$2:$K$37003,"64*")</f>
        <v>0</v>
      </c>
    </row>
    <row r="354" spans="1:5" x14ac:dyDescent="0.25">
      <c r="A354" s="558" t="s">
        <v>1011</v>
      </c>
      <c r="B354" s="556" t="s">
        <v>1012</v>
      </c>
      <c r="C354" s="556">
        <v>2500</v>
      </c>
      <c r="D354" s="556">
        <v>6500</v>
      </c>
      <c r="E354" s="557">
        <f>SUMIFS('Accounting data'!$G$2:$G$37003,'Accounting data'!$H$2:$H$37003,"9999*",'Accounting data'!$I$2:$I$37003,"7*",'Accounting data'!$J$2:$J$37003,"25*",'Accounting data'!$K$2:$K$37003,"65*")+SUMIFS('Accounting data'!$G$2:$G$37003,'Accounting data'!$H$2:$H$37003,"9999*",'Accounting data'!$I$2:$I$37003,"8*",'Accounting data'!$J$2:$J$37003,"25*",'Accounting data'!$K$2:$K$37003,"65*")+SUMIFS('Accounting data'!$G$2:$G$37003,'Accounting data'!$H$2:$H$37003,"9999*",'Accounting data'!$I$2:$I$37003,"9*",'Accounting data'!$J$2:$J$37003,"25*",'Accounting data'!$K$2:$K$37003,"65*")</f>
        <v>0</v>
      </c>
    </row>
    <row r="355" spans="1:5" x14ac:dyDescent="0.25">
      <c r="A355" s="556"/>
      <c r="B355" s="556"/>
      <c r="C355" s="556"/>
      <c r="D355" s="556"/>
      <c r="E355" s="557"/>
    </row>
    <row r="356" spans="1:5" x14ac:dyDescent="0.25">
      <c r="A356" s="556"/>
      <c r="B356" s="556"/>
      <c r="C356" s="556"/>
      <c r="D356" s="556"/>
      <c r="E356" s="557"/>
    </row>
    <row r="357" spans="1:5" x14ac:dyDescent="0.25">
      <c r="A357" s="556"/>
      <c r="B357" s="556"/>
      <c r="C357" s="556"/>
      <c r="D357" s="556"/>
      <c r="E357" s="557"/>
    </row>
    <row r="358" spans="1:5" x14ac:dyDescent="0.25">
      <c r="A358" s="556"/>
      <c r="B358" s="556"/>
      <c r="C358" s="556"/>
      <c r="D358" s="556"/>
      <c r="E358" s="557"/>
    </row>
    <row r="359" spans="1:5" x14ac:dyDescent="0.25">
      <c r="A359" s="556"/>
      <c r="B359" s="556"/>
      <c r="C359" s="556"/>
      <c r="D359" s="556"/>
      <c r="E359" s="557"/>
    </row>
    <row r="360" spans="1:5" x14ac:dyDescent="0.25">
      <c r="A360" s="556"/>
      <c r="B360" s="556"/>
      <c r="C360" s="556"/>
      <c r="D360" s="556"/>
      <c r="E360" s="557"/>
    </row>
    <row r="361" spans="1:5" x14ac:dyDescent="0.25">
      <c r="A361" s="556"/>
      <c r="B361" s="556"/>
      <c r="C361" s="556"/>
      <c r="D361" s="556"/>
      <c r="E361" s="557"/>
    </row>
    <row r="362" spans="1:5" x14ac:dyDescent="0.25">
      <c r="A362" s="556"/>
      <c r="B362" s="556"/>
      <c r="C362" s="556"/>
      <c r="D362" s="556"/>
      <c r="E362" s="557"/>
    </row>
    <row r="363" spans="1:5" x14ac:dyDescent="0.25">
      <c r="A363" s="556"/>
      <c r="B363" s="556"/>
      <c r="C363" s="556"/>
      <c r="D363" s="556"/>
      <c r="E363" s="557"/>
    </row>
    <row r="364" spans="1:5" x14ac:dyDescent="0.25">
      <c r="A364" s="558"/>
      <c r="B364" s="556"/>
      <c r="C364" s="556"/>
      <c r="D364" s="556"/>
      <c r="E364" s="557"/>
    </row>
    <row r="365" spans="1:5" x14ac:dyDescent="0.25">
      <c r="A365" s="556"/>
      <c r="B365" s="556"/>
      <c r="C365" s="556"/>
      <c r="D365" s="556"/>
      <c r="E365" s="557"/>
    </row>
    <row r="366" spans="1:5" x14ac:dyDescent="0.25">
      <c r="A366" s="556"/>
      <c r="B366" s="556"/>
      <c r="C366" s="556"/>
      <c r="D366" s="556"/>
      <c r="E366" s="557"/>
    </row>
    <row r="367" spans="1:5" x14ac:dyDescent="0.25">
      <c r="A367" s="556"/>
      <c r="B367" s="556"/>
      <c r="C367" s="556"/>
      <c r="D367" s="556"/>
      <c r="E367" s="557"/>
    </row>
    <row r="368" spans="1:5" x14ac:dyDescent="0.25">
      <c r="A368" s="556"/>
      <c r="B368" s="556"/>
      <c r="C368" s="556"/>
      <c r="D368" s="556"/>
      <c r="E368" s="557"/>
    </row>
    <row r="369" spans="1:5" x14ac:dyDescent="0.25">
      <c r="A369" s="556"/>
      <c r="B369" s="556"/>
      <c r="C369" s="556"/>
      <c r="D369" s="556"/>
      <c r="E369" s="557"/>
    </row>
    <row r="370" spans="1:5" x14ac:dyDescent="0.25">
      <c r="A370" s="558"/>
      <c r="B370" s="556"/>
      <c r="C370" s="556"/>
      <c r="D370" s="556"/>
      <c r="E370" s="557"/>
    </row>
    <row r="371" spans="1:5" x14ac:dyDescent="0.25">
      <c r="A371" s="556"/>
      <c r="B371" s="556"/>
      <c r="C371" s="556"/>
      <c r="D371" s="556"/>
      <c r="E371" s="557"/>
    </row>
    <row r="372" spans="1:5" x14ac:dyDescent="0.25">
      <c r="A372" s="556"/>
      <c r="B372" s="556"/>
      <c r="C372" s="556"/>
      <c r="D372" s="556"/>
      <c r="E372" s="557"/>
    </row>
    <row r="373" spans="1:5" x14ac:dyDescent="0.25">
      <c r="A373" s="559" t="s">
        <v>1048</v>
      </c>
      <c r="B373" s="559"/>
      <c r="C373" s="559"/>
      <c r="D373" s="559"/>
      <c r="E373" s="561">
        <f>((E347-E348-E349-E350-E351)+(E352+E353+E354+E355+E356+E357+E358+E359+E360))-((E361-E362-E363)+(E364+E365+E366))-((E367-E368-E369)+(E370+E371+E372))</f>
        <v>0</v>
      </c>
    </row>
    <row r="374" spans="1:5" x14ac:dyDescent="0.25">
      <c r="A374" s="556" t="s">
        <v>1010</v>
      </c>
      <c r="B374" s="556" t="s">
        <v>1010</v>
      </c>
      <c r="C374" s="556">
        <v>2900</v>
      </c>
      <c r="D374" s="565" t="s">
        <v>1042</v>
      </c>
      <c r="E374" s="557">
        <f>SUMIFS('Accounting data'!$G$2:$G$37003,'Accounting data'!$J$2:$J$37003,"29*",'Accounting data'!$K$2:$K$37003,"63*")+SUMIFS('Accounting data'!$G$2:$G$37003,'Accounting data'!$J$2:$J$37003,"29*",'Accounting data'!$K$2:$K$37003,"64*")+SUMIFS('Accounting data'!$G$2:$G$37003,'Accounting data'!$J$2:$J$37003,"29*",'Accounting data'!$K$2:$K$37003,"65*")</f>
        <v>0</v>
      </c>
    </row>
    <row r="375" spans="1:5" x14ac:dyDescent="0.25">
      <c r="A375" s="556" t="s">
        <v>1011</v>
      </c>
      <c r="B375" s="556" t="s">
        <v>1010</v>
      </c>
      <c r="C375" s="556">
        <v>2900</v>
      </c>
      <c r="D375" s="556">
        <v>6300</v>
      </c>
      <c r="E375" s="557">
        <f>SUMIFS('Accounting data'!$G$2:$G$37003,'Accounting data'!$H$2:$H$37003,"9999*",'Accounting data'!$J$2:$J$37003,"29*",'Accounting data'!$K$2:$K$37003,"63*")</f>
        <v>0</v>
      </c>
    </row>
    <row r="376" spans="1:5" x14ac:dyDescent="0.25">
      <c r="A376" s="556" t="s">
        <v>1011</v>
      </c>
      <c r="B376" s="556" t="s">
        <v>1010</v>
      </c>
      <c r="C376" s="556">
        <v>2900</v>
      </c>
      <c r="D376" s="556">
        <v>6400</v>
      </c>
      <c r="E376" s="557">
        <f>SUMIFS('Accounting data'!$G$2:$G$37003,'Accounting data'!$H$2:$H$37003,"9999*",'Accounting data'!$J$2:$J$37003,"29*",'Accounting data'!$K$2:$K$37003,"64*")</f>
        <v>0</v>
      </c>
    </row>
    <row r="377" spans="1:5" x14ac:dyDescent="0.25">
      <c r="A377" s="556" t="s">
        <v>1011</v>
      </c>
      <c r="B377" s="556" t="s">
        <v>1010</v>
      </c>
      <c r="C377" s="556">
        <v>2900</v>
      </c>
      <c r="D377" s="556">
        <v>6500</v>
      </c>
      <c r="E377" s="557">
        <f>SUMIFS('Accounting data'!$G$2:$G$37003,'Accounting data'!$H$2:$H$37003,"9999*",'Accounting data'!$J$2:$J$37003,"29*",'Accounting data'!$K$2:$K$37003,"65*")</f>
        <v>0</v>
      </c>
    </row>
    <row r="378" spans="1:5" x14ac:dyDescent="0.25">
      <c r="A378" s="556" t="s">
        <v>1010</v>
      </c>
      <c r="B378" s="556" t="s">
        <v>1012</v>
      </c>
      <c r="C378" s="556">
        <v>2900</v>
      </c>
      <c r="D378" s="565" t="s">
        <v>1042</v>
      </c>
      <c r="E378" s="557">
        <f>SUMIFS('Accounting data'!$G$2:$G$37003,'Accounting data'!$I$2:$I$37003,"7*",'Accounting data'!$J$2:$J$37003,"29*",'Accounting data'!$K$2:$K$37003,"63*")+SUMIFS('Accounting data'!$G$2:$G$37003,'Accounting data'!$I$2:$I$37003,"8*",'Accounting data'!$J$2:$J$37003,"29*",'Accounting data'!$K$2:$K$37003,"63*")+SUMIFS('Accounting data'!$G$2:$G$37003,'Accounting data'!$I$2:$I$37003,"9*",'Accounting data'!$J$2:$J$37003,"29*",'Accounting data'!$K$2:$K$37003,"63*")+SUMIFS('Accounting data'!$G$2:$G$37003,'Accounting data'!$I$2:$I$37003,"7*",'Accounting data'!$J$2:$J$37003,"29*",'Accounting data'!$K$2:$K$37003,"64*")+SUMIFS('Accounting data'!$G$2:$G$37003,'Accounting data'!$I$2:$I$37003,"8*",'Accounting data'!$J$2:$J$37003,"29*",'Accounting data'!$K$2:$K$37003,"64*")+SUMIFS('Accounting data'!$G$2:$G$37003,'Accounting data'!$I$2:$I$37003,"9*",'Accounting data'!$J$2:$J$37003,"29*",'Accounting data'!$K$2:$K$37003,"64*")+SUMIFS('Accounting data'!$G$2:$G$37003,'Accounting data'!$I$2:$I$37003,"7*",'Accounting data'!$J$2:$J$37003,"29*",'Accounting data'!$K$2:$K$37003,"65*")+SUMIFS('Accounting data'!$G$2:$G$37003,'Accounting data'!$I$2:$I$37003,"8*",'Accounting data'!$J$2:$J$37003,"29*",'Accounting data'!$K$2:$K$37003,"65*")+SUMIFS('Accounting data'!$G$2:$G$37003,'Accounting data'!$I$2:$I$37003,"9*",'Accounting data'!$J$2:$J$37003,"29*",'Accounting data'!$K$2:$K$37003,"65*")</f>
        <v>0</v>
      </c>
    </row>
    <row r="379" spans="1:5" x14ac:dyDescent="0.25">
      <c r="A379" s="558" t="s">
        <v>1011</v>
      </c>
      <c r="B379" s="556" t="s">
        <v>1012</v>
      </c>
      <c r="C379" s="556">
        <v>2900</v>
      </c>
      <c r="D379" s="556">
        <v>6300</v>
      </c>
      <c r="E379" s="557">
        <f>SUMIFS('Accounting data'!$G$2:$G$37003,'Accounting data'!$H$2:$H$37003,"9999*",'Accounting data'!$I$2:$I$37003,"7*",'Accounting data'!$J$2:$J$37003,"29*",'Accounting data'!$K$2:$K$37003,"63*")+SUMIFS('Accounting data'!$G$2:$G$37003,'Accounting data'!$H$2:$H$37003,"9999*",'Accounting data'!$I$2:$I$37003,"8*",'Accounting data'!$J$2:$J$37003,"29*",'Accounting data'!$K$2:$K$37003,"63*")+SUMIFS('Accounting data'!$G$2:$G$37003,'Accounting data'!$H$2:$H$37003,"9999*",'Accounting data'!$I$2:$I$37003,"9*",'Accounting data'!$J$2:$J$37003,"29*",'Accounting data'!$K$2:$K$37003,"63*")</f>
        <v>0</v>
      </c>
    </row>
    <row r="380" spans="1:5" x14ac:dyDescent="0.25">
      <c r="A380" s="558" t="s">
        <v>1011</v>
      </c>
      <c r="B380" s="556" t="s">
        <v>1012</v>
      </c>
      <c r="C380" s="556">
        <v>2900</v>
      </c>
      <c r="D380" s="556">
        <v>6400</v>
      </c>
      <c r="E380" s="557">
        <f>SUMIFS('Accounting data'!$G$2:$G$37003,'Accounting data'!$H$2:$H$37003,"9999*",'Accounting data'!$I$2:$I$37003,"7*",'Accounting data'!$J$2:$J$37003,"29*",'Accounting data'!$K$2:$K$37003,"64*")+SUMIFS('Accounting data'!$G$2:$G$37003,'Accounting data'!$H$2:$H$37003,"9999*",'Accounting data'!$I$2:$I$37003,"8*",'Accounting data'!$J$2:$J$37003,"29*",'Accounting data'!$K$2:$K$37003,"64*")+SUMIFS('Accounting data'!$G$2:$G$37003,'Accounting data'!$H$2:$H$37003,"9999*",'Accounting data'!$I$2:$I$37003,"9*",'Accounting data'!$J$2:$J$37003,"29*",'Accounting data'!$K$2:$K$37003,"64*")</f>
        <v>0</v>
      </c>
    </row>
    <row r="381" spans="1:5" x14ac:dyDescent="0.25">
      <c r="A381" s="558" t="s">
        <v>1011</v>
      </c>
      <c r="B381" s="556" t="s">
        <v>1012</v>
      </c>
      <c r="C381" s="556">
        <v>2900</v>
      </c>
      <c r="D381" s="556">
        <v>6500</v>
      </c>
      <c r="E381" s="557">
        <f>SUMIFS('Accounting data'!$G$2:$G$37003,'Accounting data'!$H$2:$H$37003,"9999*",'Accounting data'!$I$2:$I$37003,"7*",'Accounting data'!$J$2:$J$37003,"29*",'Accounting data'!$K$2:$K$37003,"65*")+SUMIFS('Accounting data'!$G$2:$G$37003,'Accounting data'!$H$2:$H$37003,"9999*",'Accounting data'!$I$2:$I$37003,"8*",'Accounting data'!$J$2:$J$37003,"29*",'Accounting data'!$K$2:$K$37003,"65*")+SUMIFS('Accounting data'!$G$2:$G$37003,'Accounting data'!$H$2:$H$37003,"9999*",'Accounting data'!$I$2:$I$37003,"9*",'Accounting data'!$J$2:$J$37003,"29*",'Accounting data'!$K$2:$K$37003,"65*")</f>
        <v>0</v>
      </c>
    </row>
    <row r="382" spans="1:5" x14ac:dyDescent="0.25">
      <c r="A382" s="556"/>
      <c r="B382" s="556"/>
      <c r="C382" s="556"/>
      <c r="D382" s="556"/>
      <c r="E382" s="557"/>
    </row>
    <row r="383" spans="1:5" x14ac:dyDescent="0.25">
      <c r="A383" s="556"/>
      <c r="B383" s="556"/>
      <c r="C383" s="556"/>
      <c r="D383" s="556"/>
      <c r="E383" s="557"/>
    </row>
    <row r="384" spans="1:5" x14ac:dyDescent="0.25">
      <c r="A384" s="556"/>
      <c r="B384" s="556"/>
      <c r="C384" s="556"/>
      <c r="D384" s="556"/>
      <c r="E384" s="557"/>
    </row>
    <row r="385" spans="1:5" x14ac:dyDescent="0.25">
      <c r="A385" s="556"/>
      <c r="B385" s="556"/>
      <c r="C385" s="556"/>
      <c r="D385" s="556"/>
      <c r="E385" s="557"/>
    </row>
    <row r="386" spans="1:5" x14ac:dyDescent="0.25">
      <c r="A386" s="556"/>
      <c r="B386" s="556"/>
      <c r="C386" s="556"/>
      <c r="D386" s="556"/>
      <c r="E386" s="557"/>
    </row>
    <row r="387" spans="1:5" x14ac:dyDescent="0.25">
      <c r="A387" s="556"/>
      <c r="B387" s="556"/>
      <c r="C387" s="556"/>
      <c r="D387" s="556"/>
      <c r="E387" s="557"/>
    </row>
    <row r="388" spans="1:5" x14ac:dyDescent="0.25">
      <c r="A388" s="556"/>
      <c r="B388" s="556"/>
      <c r="C388" s="556"/>
      <c r="D388" s="556"/>
      <c r="E388" s="557"/>
    </row>
    <row r="389" spans="1:5" x14ac:dyDescent="0.25">
      <c r="A389" s="556"/>
      <c r="B389" s="556"/>
      <c r="C389" s="556"/>
      <c r="D389" s="556"/>
      <c r="E389" s="557"/>
    </row>
    <row r="390" spans="1:5" x14ac:dyDescent="0.25">
      <c r="A390" s="556"/>
      <c r="B390" s="556"/>
      <c r="C390" s="556"/>
      <c r="D390" s="556"/>
      <c r="E390" s="557"/>
    </row>
    <row r="391" spans="1:5" x14ac:dyDescent="0.25">
      <c r="A391" s="558"/>
      <c r="B391" s="556"/>
      <c r="C391" s="556"/>
      <c r="D391" s="556"/>
      <c r="E391" s="557"/>
    </row>
    <row r="392" spans="1:5" x14ac:dyDescent="0.25">
      <c r="A392" s="556"/>
      <c r="B392" s="556"/>
      <c r="C392" s="556"/>
      <c r="D392" s="556"/>
      <c r="E392" s="557"/>
    </row>
    <row r="393" spans="1:5" x14ac:dyDescent="0.25">
      <c r="A393" s="556"/>
      <c r="B393" s="556"/>
      <c r="C393" s="556"/>
      <c r="D393" s="556"/>
      <c r="E393" s="557"/>
    </row>
    <row r="394" spans="1:5" x14ac:dyDescent="0.25">
      <c r="A394" s="556"/>
      <c r="B394" s="556"/>
      <c r="C394" s="556"/>
      <c r="D394" s="556"/>
      <c r="E394" s="557"/>
    </row>
    <row r="395" spans="1:5" x14ac:dyDescent="0.25">
      <c r="A395" s="556"/>
      <c r="B395" s="556"/>
      <c r="C395" s="556"/>
      <c r="D395" s="556"/>
      <c r="E395" s="557"/>
    </row>
    <row r="396" spans="1:5" x14ac:dyDescent="0.25">
      <c r="A396" s="556"/>
      <c r="B396" s="556"/>
      <c r="C396" s="556"/>
      <c r="D396" s="556"/>
      <c r="E396" s="557"/>
    </row>
    <row r="397" spans="1:5" x14ac:dyDescent="0.25">
      <c r="A397" s="558"/>
      <c r="B397" s="556"/>
      <c r="C397" s="556"/>
      <c r="D397" s="556"/>
      <c r="E397" s="557"/>
    </row>
    <row r="398" spans="1:5" x14ac:dyDescent="0.25">
      <c r="A398" s="556"/>
      <c r="B398" s="556"/>
      <c r="C398" s="556"/>
      <c r="D398" s="556"/>
      <c r="E398" s="557"/>
    </row>
    <row r="399" spans="1:5" x14ac:dyDescent="0.25">
      <c r="A399" s="556"/>
      <c r="B399" s="556"/>
      <c r="C399" s="556"/>
      <c r="D399" s="556"/>
      <c r="E399" s="557"/>
    </row>
    <row r="400" spans="1:5" x14ac:dyDescent="0.25">
      <c r="A400" s="559" t="s">
        <v>1049</v>
      </c>
      <c r="B400" s="559"/>
      <c r="C400" s="559"/>
      <c r="D400" s="559"/>
      <c r="E400" s="561">
        <f>((E374-E375-E376-E377-E378)+(E379+E380+E381+E382+E383+E384+E385+E386+E387))-((E388-E389-E390)+(E391+E392+E393))-((E394-E395-E396)+(E397+E398+E399))</f>
        <v>0</v>
      </c>
    </row>
    <row r="401" spans="1:5" x14ac:dyDescent="0.25">
      <c r="A401" s="556" t="s">
        <v>1010</v>
      </c>
      <c r="B401" s="556" t="s">
        <v>1010</v>
      </c>
      <c r="C401" s="556">
        <v>2600</v>
      </c>
      <c r="D401" s="565" t="s">
        <v>1042</v>
      </c>
      <c r="E401" s="557">
        <f>SUMIFS('Accounting data'!$G$2:$G$37003,'Accounting data'!$J$2:$J$37003,"26*",'Accounting data'!$K$2:$K$37003,"63*")+SUMIFS('Accounting data'!$G$2:$G$37003,'Accounting data'!$J$2:$J$37003,"26*",'Accounting data'!$K$2:$K$37003,"64*")+SUMIFS('Accounting data'!$G$2:$G$37003,'Accounting data'!$J$2:$J$37003,"26*",'Accounting data'!$K$2:$K$37003,"65*")</f>
        <v>4698</v>
      </c>
    </row>
    <row r="402" spans="1:5" x14ac:dyDescent="0.25">
      <c r="A402" s="556" t="s">
        <v>1011</v>
      </c>
      <c r="B402" s="556" t="s">
        <v>1010</v>
      </c>
      <c r="C402" s="556">
        <v>2600</v>
      </c>
      <c r="D402" s="556">
        <v>6300</v>
      </c>
      <c r="E402" s="557">
        <f>SUMIFS('Accounting data'!$G$2:$G$37003,'Accounting data'!$H$2:$H$37003,"9999*",'Accounting data'!$J$2:$J$37003,"26*",'Accounting data'!$K$2:$K$37003,"63*")</f>
        <v>0</v>
      </c>
    </row>
    <row r="403" spans="1:5" x14ac:dyDescent="0.25">
      <c r="A403" s="556" t="s">
        <v>1011</v>
      </c>
      <c r="B403" s="556" t="s">
        <v>1010</v>
      </c>
      <c r="C403" s="556">
        <v>2600</v>
      </c>
      <c r="D403" s="556">
        <v>6400</v>
      </c>
      <c r="E403" s="557">
        <f>SUMIFS('Accounting data'!$G$2:$G$37003,'Accounting data'!$H$2:$H$37003,"9999*",'Accounting data'!$J$2:$J$37003,"26*",'Accounting data'!$K$2:$K$37003,"64*")</f>
        <v>0</v>
      </c>
    </row>
    <row r="404" spans="1:5" x14ac:dyDescent="0.25">
      <c r="A404" s="556" t="s">
        <v>1011</v>
      </c>
      <c r="B404" s="556" t="s">
        <v>1010</v>
      </c>
      <c r="C404" s="556">
        <v>2600</v>
      </c>
      <c r="D404" s="556">
        <v>6500</v>
      </c>
      <c r="E404" s="557">
        <f>SUMIFS('Accounting data'!$G$2:$G$37003,'Accounting data'!$H$2:$H$37003,"9999*",'Accounting data'!$J$2:$J$37003,"26*",'Accounting data'!$K$2:$K$37003,"65*")</f>
        <v>0</v>
      </c>
    </row>
    <row r="405" spans="1:5" x14ac:dyDescent="0.25">
      <c r="A405" s="556" t="s">
        <v>1010</v>
      </c>
      <c r="B405" s="556" t="s">
        <v>1012</v>
      </c>
      <c r="C405" s="556">
        <v>2600</v>
      </c>
      <c r="D405" s="565" t="s">
        <v>1042</v>
      </c>
      <c r="E405" s="557">
        <f>SUMIFS('Accounting data'!$G$2:$G$37003,'Accounting data'!$I$2:$I$37003,"7*",'Accounting data'!$J$2:$J$37003,"26*",'Accounting data'!$K$2:$K$37003,"63*")+SUMIFS('Accounting data'!$G$2:$G$37003,'Accounting data'!$I$2:$I$37003,"8*",'Accounting data'!$J$2:$J$37003,"26*",'Accounting data'!$K$2:$K$37003,"63*")+SUMIFS('Accounting data'!$G$2:$G$37003,'Accounting data'!$I$2:$I$37003,"9*",'Accounting data'!$J$2:$J$37003,"26*",'Accounting data'!$K$2:$K$37003,"63*")+SUMIFS('Accounting data'!$G$2:$G$37003,'Accounting data'!$I$2:$I$37003,"7*",'Accounting data'!$J$2:$J$37003,"26*",'Accounting data'!$K$2:$K$37003,"64*")+SUMIFS('Accounting data'!$G$2:$G$37003,'Accounting data'!$I$2:$I$37003,"8*",'Accounting data'!$J$2:$J$37003,"26*",'Accounting data'!$K$2:$K$37003,"64*")+SUMIFS('Accounting data'!$G$2:$G$37003,'Accounting data'!$I$2:$I$37003,"9*",'Accounting data'!$J$2:$J$37003,"26*",'Accounting data'!$K$2:$K$37003,"64*")+SUMIFS('Accounting data'!$G$2:$G$37003,'Accounting data'!$I$2:$I$37003,"7*",'Accounting data'!$J$2:$J$37003,"26*",'Accounting data'!$K$2:$K$37003,"65*")+SUMIFS('Accounting data'!$G$2:$G$37003,'Accounting data'!$I$2:$I$37003,"8*",'Accounting data'!$J$2:$J$37003,"26*",'Accounting data'!$K$2:$K$37003,"65*")+SUMIFS('Accounting data'!$G$2:$G$37003,'Accounting data'!$I$2:$I$37003,"9*",'Accounting data'!$J$2:$J$37003,"26*",'Accounting data'!$K$2:$K$37003,"65*")</f>
        <v>0</v>
      </c>
    </row>
    <row r="406" spans="1:5" x14ac:dyDescent="0.25">
      <c r="A406" s="558" t="s">
        <v>1011</v>
      </c>
      <c r="B406" s="556" t="s">
        <v>1012</v>
      </c>
      <c r="C406" s="556">
        <v>2600</v>
      </c>
      <c r="D406" s="556">
        <v>6300</v>
      </c>
      <c r="E406" s="557">
        <f>SUMIFS('Accounting data'!$G$2:$G$37003,'Accounting data'!$H$2:$H$37003,"9999*",'Accounting data'!$I$2:$I$37003,"7*",'Accounting data'!$J$2:$J$37003,"26*",'Accounting data'!$K$2:$K$37003,"63*")+SUMIFS('Accounting data'!$G$2:$G$37003,'Accounting data'!$H$2:$H$37003,"9999*",'Accounting data'!$I$2:$I$37003,"8*",'Accounting data'!$J$2:$J$37003,"26*",'Accounting data'!$K$2:$K$37003,"63*")+SUMIFS('Accounting data'!$G$2:$G$37003,'Accounting data'!$H$2:$H$37003,"9999*",'Accounting data'!$I$2:$I$37003,"9*",'Accounting data'!$J$2:$J$37003,"26*",'Accounting data'!$K$2:$K$37003,"63*")</f>
        <v>0</v>
      </c>
    </row>
    <row r="407" spans="1:5" x14ac:dyDescent="0.25">
      <c r="A407" s="558" t="s">
        <v>1011</v>
      </c>
      <c r="B407" s="556" t="s">
        <v>1012</v>
      </c>
      <c r="C407" s="556">
        <v>2600</v>
      </c>
      <c r="D407" s="556">
        <v>6400</v>
      </c>
      <c r="E407" s="557">
        <f>SUMIFS('Accounting data'!$G$2:$G$37003,'Accounting data'!$H$2:$H$37003,"9999*",'Accounting data'!$I$2:$I$37003,"7*",'Accounting data'!$J$2:$J$37003,"26*",'Accounting data'!$K$2:$K$37003,"64*")+SUMIFS('Accounting data'!$G$2:$G$37003,'Accounting data'!$H$2:$H$37003,"9999*",'Accounting data'!$I$2:$I$37003,"8*",'Accounting data'!$J$2:$J$37003,"26*",'Accounting data'!$K$2:$K$37003,"64*")+SUMIFS('Accounting data'!$G$2:$G$37003,'Accounting data'!$H$2:$H$37003,"9999*",'Accounting data'!$I$2:$I$37003,"9*",'Accounting data'!$J$2:$J$37003,"26*",'Accounting data'!$K$2:$K$37003,"64*")</f>
        <v>0</v>
      </c>
    </row>
    <row r="408" spans="1:5" x14ac:dyDescent="0.25">
      <c r="A408" s="558" t="s">
        <v>1011</v>
      </c>
      <c r="B408" s="556" t="s">
        <v>1012</v>
      </c>
      <c r="C408" s="556">
        <v>2600</v>
      </c>
      <c r="D408" s="556">
        <v>6500</v>
      </c>
      <c r="E408" s="557">
        <f>SUMIFS('Accounting data'!$G$2:$G$37003,'Accounting data'!$H$2:$H$37003,"9999*",'Accounting data'!$I$2:$I$37003,"7*",'Accounting data'!$J$2:$J$37003,"26*",'Accounting data'!$K$2:$K$37003,"65*")+SUMIFS('Accounting data'!$G$2:$G$37003,'Accounting data'!$H$2:$H$37003,"9999*",'Accounting data'!$I$2:$I$37003,"8*",'Accounting data'!$J$2:$J$37003,"26*",'Accounting data'!$K$2:$K$37003,"65*")+SUMIFS('Accounting data'!$G$2:$G$37003,'Accounting data'!$H$2:$H$37003,"9999*",'Accounting data'!$I$2:$I$37003,"9*",'Accounting data'!$J$2:$J$37003,"26*",'Accounting data'!$K$2:$K$37003,"65*")</f>
        <v>0</v>
      </c>
    </row>
    <row r="409" spans="1:5" x14ac:dyDescent="0.25">
      <c r="A409" s="556"/>
      <c r="B409" s="556"/>
      <c r="C409" s="556"/>
      <c r="D409" s="556"/>
      <c r="E409" s="557"/>
    </row>
    <row r="410" spans="1:5" x14ac:dyDescent="0.25">
      <c r="A410" s="556"/>
      <c r="B410" s="556"/>
      <c r="C410" s="556"/>
      <c r="D410" s="556"/>
      <c r="E410" s="557"/>
    </row>
    <row r="411" spans="1:5" x14ac:dyDescent="0.25">
      <c r="A411" s="556"/>
      <c r="B411" s="556"/>
      <c r="C411" s="556"/>
      <c r="D411" s="556"/>
      <c r="E411" s="557"/>
    </row>
    <row r="412" spans="1:5" x14ac:dyDescent="0.25">
      <c r="A412" s="556"/>
      <c r="B412" s="556"/>
      <c r="C412" s="556"/>
      <c r="D412" s="556"/>
      <c r="E412" s="557"/>
    </row>
    <row r="413" spans="1:5" x14ac:dyDescent="0.25">
      <c r="A413" s="556"/>
      <c r="B413" s="556"/>
      <c r="C413" s="556"/>
      <c r="D413" s="556"/>
      <c r="E413" s="557"/>
    </row>
    <row r="414" spans="1:5" x14ac:dyDescent="0.25">
      <c r="A414" s="556"/>
      <c r="B414" s="556"/>
      <c r="C414" s="556"/>
      <c r="D414" s="556"/>
      <c r="E414" s="557"/>
    </row>
    <row r="415" spans="1:5" x14ac:dyDescent="0.25">
      <c r="A415" s="556"/>
      <c r="B415" s="556"/>
      <c r="C415" s="556"/>
      <c r="D415" s="556"/>
      <c r="E415" s="557"/>
    </row>
    <row r="416" spans="1:5" x14ac:dyDescent="0.25">
      <c r="A416" s="556"/>
      <c r="B416" s="556"/>
      <c r="C416" s="556"/>
      <c r="D416" s="556"/>
      <c r="E416" s="557"/>
    </row>
    <row r="417" spans="1:5" x14ac:dyDescent="0.25">
      <c r="A417" s="556"/>
      <c r="B417" s="556"/>
      <c r="C417" s="556"/>
      <c r="D417" s="556"/>
      <c r="E417" s="557"/>
    </row>
    <row r="418" spans="1:5" x14ac:dyDescent="0.25">
      <c r="A418" s="558"/>
      <c r="B418" s="556"/>
      <c r="C418" s="556"/>
      <c r="D418" s="556"/>
      <c r="E418" s="557"/>
    </row>
    <row r="419" spans="1:5" x14ac:dyDescent="0.25">
      <c r="A419" s="556"/>
      <c r="B419" s="556"/>
      <c r="C419" s="556"/>
      <c r="D419" s="556"/>
      <c r="E419" s="557"/>
    </row>
    <row r="420" spans="1:5" x14ac:dyDescent="0.25">
      <c r="A420" s="556"/>
      <c r="B420" s="556"/>
      <c r="C420" s="556"/>
      <c r="D420" s="556"/>
      <c r="E420" s="557"/>
    </row>
    <row r="421" spans="1:5" x14ac:dyDescent="0.25">
      <c r="A421" s="556"/>
      <c r="B421" s="556"/>
      <c r="C421" s="556"/>
      <c r="D421" s="556"/>
      <c r="E421" s="557"/>
    </row>
    <row r="422" spans="1:5" x14ac:dyDescent="0.25">
      <c r="A422" s="556"/>
      <c r="B422" s="556"/>
      <c r="C422" s="556"/>
      <c r="D422" s="556"/>
      <c r="E422" s="557"/>
    </row>
    <row r="423" spans="1:5" x14ac:dyDescent="0.25">
      <c r="A423" s="556"/>
      <c r="B423" s="556"/>
      <c r="C423" s="556"/>
      <c r="D423" s="556"/>
      <c r="E423" s="557"/>
    </row>
    <row r="424" spans="1:5" x14ac:dyDescent="0.25">
      <c r="A424" s="558"/>
      <c r="B424" s="556"/>
      <c r="C424" s="556"/>
      <c r="D424" s="556"/>
      <c r="E424" s="557"/>
    </row>
    <row r="425" spans="1:5" x14ac:dyDescent="0.25">
      <c r="A425" s="556"/>
      <c r="B425" s="556"/>
      <c r="C425" s="556"/>
      <c r="D425" s="556"/>
      <c r="E425" s="557"/>
    </row>
    <row r="426" spans="1:5" x14ac:dyDescent="0.25">
      <c r="A426" s="556"/>
      <c r="B426" s="556"/>
      <c r="C426" s="556"/>
      <c r="D426" s="556"/>
      <c r="E426" s="557"/>
    </row>
    <row r="427" spans="1:5" x14ac:dyDescent="0.25">
      <c r="A427" s="559" t="s">
        <v>1050</v>
      </c>
      <c r="B427" s="559"/>
      <c r="C427" s="559"/>
      <c r="D427" s="559"/>
      <c r="E427" s="561">
        <f>((E401-E402-E403-E404-E405)+(E406+E407+E408+E409+E410+E411+E412+E413+E414))-((E415-E416-E417)+(E418+E419+E420))-((E421-E422-E423)+(E424+E425+E426))</f>
        <v>4698</v>
      </c>
    </row>
    <row r="428" spans="1:5" x14ac:dyDescent="0.25">
      <c r="A428" s="556" t="s">
        <v>1010</v>
      </c>
      <c r="B428" s="556" t="s">
        <v>1010</v>
      </c>
      <c r="C428" s="556">
        <v>2700</v>
      </c>
      <c r="D428" s="565" t="s">
        <v>1042</v>
      </c>
      <c r="E428" s="557">
        <f>SUMIFS('Accounting data'!$G$2:$G$37003,'Accounting data'!$J$2:$J$37003,"27*",'Accounting data'!$K$2:$K$37003,"63*")+SUMIFS('Accounting data'!$G$2:$G$37003,'Accounting data'!$J$2:$J$37003,"27*",'Accounting data'!$K$2:$K$37003,"64*")+SUMIFS('Accounting data'!$G$2:$G$37003,'Accounting data'!$J$2:$J$37003,"27*",'Accounting data'!$K$2:$K$37003,"65*")</f>
        <v>262</v>
      </c>
    </row>
    <row r="429" spans="1:5" x14ac:dyDescent="0.25">
      <c r="A429" s="556" t="s">
        <v>1011</v>
      </c>
      <c r="B429" s="556" t="s">
        <v>1010</v>
      </c>
      <c r="C429" s="556">
        <v>2700</v>
      </c>
      <c r="D429" s="556">
        <v>6300</v>
      </c>
      <c r="E429" s="557">
        <f>SUMIFS('Accounting data'!$G$2:$G$37003,'Accounting data'!$H$2:$H$37003,"9999*",'Accounting data'!$J$2:$J$37003,"27*",'Accounting data'!$K$2:$K$37003,"63*")</f>
        <v>0</v>
      </c>
    </row>
    <row r="430" spans="1:5" x14ac:dyDescent="0.25">
      <c r="A430" s="556" t="s">
        <v>1011</v>
      </c>
      <c r="B430" s="556" t="s">
        <v>1010</v>
      </c>
      <c r="C430" s="556">
        <v>2700</v>
      </c>
      <c r="D430" s="556">
        <v>6400</v>
      </c>
      <c r="E430" s="557">
        <f>SUMIFS('Accounting data'!$G$2:$G$37003,'Accounting data'!$H$2:$H$37003,"9999*",'Accounting data'!$J$2:$J$37003,"27*",'Accounting data'!$K$2:$K$37003,"64*")</f>
        <v>0</v>
      </c>
    </row>
    <row r="431" spans="1:5" x14ac:dyDescent="0.25">
      <c r="A431" s="556" t="s">
        <v>1011</v>
      </c>
      <c r="B431" s="556" t="s">
        <v>1010</v>
      </c>
      <c r="C431" s="556">
        <v>2700</v>
      </c>
      <c r="D431" s="556">
        <v>6500</v>
      </c>
      <c r="E431" s="557">
        <f>SUMIFS('Accounting data'!$G$2:$G$37003,'Accounting data'!$H$2:$H$37003,"9999*",'Accounting data'!$J$2:$J$37003,"27*",'Accounting data'!$K$2:$K$37003,"65*")</f>
        <v>0</v>
      </c>
    </row>
    <row r="432" spans="1:5" x14ac:dyDescent="0.25">
      <c r="A432" s="556" t="s">
        <v>1010</v>
      </c>
      <c r="B432" s="556" t="s">
        <v>1012</v>
      </c>
      <c r="C432" s="556">
        <v>2700</v>
      </c>
      <c r="D432" s="565" t="s">
        <v>1042</v>
      </c>
      <c r="E432" s="557">
        <f>SUMIFS('Accounting data'!$G$2:$G$37003,'Accounting data'!$I$2:$I$37003,"7*",'Accounting data'!$J$2:$J$37003,"27*",'Accounting data'!$K$2:$K$37003,"63*")+SUMIFS('Accounting data'!$G$2:$G$37003,'Accounting data'!$I$2:$I$37003,"8*",'Accounting data'!$J$2:$J$37003,"27*",'Accounting data'!$K$2:$K$37003,"63*")+SUMIFS('Accounting data'!$G$2:$G$37003,'Accounting data'!$I$2:$I$37003,"9*",'Accounting data'!$J$2:$J$37003,"27*",'Accounting data'!$K$2:$K$37003,"63*")+SUMIFS('Accounting data'!$G$2:$G$37003,'Accounting data'!$I$2:$I$37003,"7*",'Accounting data'!$J$2:$J$37003,"27*",'Accounting data'!$K$2:$K$37003,"64*")+SUMIFS('Accounting data'!$G$2:$G$37003,'Accounting data'!$I$2:$I$37003,"8*",'Accounting data'!$J$2:$J$37003,"27*",'Accounting data'!$K$2:$K$37003,"64*")+SUMIFS('Accounting data'!$G$2:$G$37003,'Accounting data'!$I$2:$I$37003,"9*",'Accounting data'!$J$2:$J$37003,"27*",'Accounting data'!$K$2:$K$37003,"64*")+SUMIFS('Accounting data'!$G$2:$G$37003,'Accounting data'!$I$2:$I$37003,"7*",'Accounting data'!$J$2:$J$37003,"27*",'Accounting data'!$K$2:$K$37003,"65*")+SUMIFS('Accounting data'!$G$2:$G$37003,'Accounting data'!$I$2:$I$37003,"8*",'Accounting data'!$J$2:$J$37003,"27*",'Accounting data'!$K$2:$K$37003,"65*")+SUMIFS('Accounting data'!$G$2:$G$37003,'Accounting data'!$I$2:$I$37003,"9*",'Accounting data'!$J$2:$J$37003,"27*",'Accounting data'!$K$2:$K$37003,"65*")</f>
        <v>0</v>
      </c>
    </row>
    <row r="433" spans="1:5" x14ac:dyDescent="0.25">
      <c r="A433" s="558" t="s">
        <v>1011</v>
      </c>
      <c r="B433" s="556" t="s">
        <v>1012</v>
      </c>
      <c r="C433" s="556">
        <v>2700</v>
      </c>
      <c r="D433" s="556">
        <v>6300</v>
      </c>
      <c r="E433" s="557">
        <f>SUMIFS('Accounting data'!$G$2:$G$37003,'Accounting data'!$H$2:$H$37003,"9999*",'Accounting data'!$I$2:$I$37003,"7*",'Accounting data'!$J$2:$J$37003,"27*",'Accounting data'!$K$2:$K$37003,"63*")+SUMIFS('Accounting data'!$G$2:$G$37003,'Accounting data'!$H$2:$H$37003,"9999*",'Accounting data'!$I$2:$I$37003,"8*",'Accounting data'!$J$2:$J$37003,"27*",'Accounting data'!$K$2:$K$37003,"63*")+SUMIFS('Accounting data'!$G$2:$G$37003,'Accounting data'!$H$2:$H$37003,"9999*",'Accounting data'!$I$2:$I$37003,"9*",'Accounting data'!$J$2:$J$37003,"27*",'Accounting data'!$K$2:$K$37003,"63*")</f>
        <v>0</v>
      </c>
    </row>
    <row r="434" spans="1:5" x14ac:dyDescent="0.25">
      <c r="A434" s="558" t="s">
        <v>1011</v>
      </c>
      <c r="B434" s="556" t="s">
        <v>1012</v>
      </c>
      <c r="C434" s="556">
        <v>2700</v>
      </c>
      <c r="D434" s="556">
        <v>6400</v>
      </c>
      <c r="E434" s="557">
        <f>SUMIFS('Accounting data'!$G$2:$G$37003,'Accounting data'!$H$2:$H$37003,"9999*",'Accounting data'!$I$2:$I$37003,"7*",'Accounting data'!$J$2:$J$37003,"27*",'Accounting data'!$K$2:$K$37003,"64*")+SUMIFS('Accounting data'!$G$2:$G$37003,'Accounting data'!$H$2:$H$37003,"9999*",'Accounting data'!$I$2:$I$37003,"8*",'Accounting data'!$J$2:$J$37003,"27*",'Accounting data'!$K$2:$K$37003,"64*")+SUMIFS('Accounting data'!$G$2:$G$37003,'Accounting data'!$H$2:$H$37003,"9999*",'Accounting data'!$I$2:$I$37003,"9*",'Accounting data'!$J$2:$J$37003,"27*",'Accounting data'!$K$2:$K$37003,"64*")</f>
        <v>0</v>
      </c>
    </row>
    <row r="435" spans="1:5" x14ac:dyDescent="0.25">
      <c r="A435" s="558" t="s">
        <v>1011</v>
      </c>
      <c r="B435" s="556" t="s">
        <v>1012</v>
      </c>
      <c r="C435" s="556">
        <v>2700</v>
      </c>
      <c r="D435" s="556">
        <v>6500</v>
      </c>
      <c r="E435" s="557">
        <f>SUMIFS('Accounting data'!$G$2:$G$37003,'Accounting data'!$H$2:$H$37003,"9999*",'Accounting data'!$I$2:$I$37003,"7*",'Accounting data'!$J$2:$J$37003,"27*",'Accounting data'!$K$2:$K$37003,"65*")+SUMIFS('Accounting data'!$G$2:$G$37003,'Accounting data'!$H$2:$H$37003,"9999*",'Accounting data'!$I$2:$I$37003,"8*",'Accounting data'!$J$2:$J$37003,"27*",'Accounting data'!$K$2:$K$37003,"65*")+SUMIFS('Accounting data'!$G$2:$G$37003,'Accounting data'!$H$2:$H$37003,"9999*",'Accounting data'!$I$2:$I$37003,"9*",'Accounting data'!$J$2:$J$37003,"27*",'Accounting data'!$K$2:$K$37003,"65*")</f>
        <v>0</v>
      </c>
    </row>
    <row r="436" spans="1:5" x14ac:dyDescent="0.25">
      <c r="A436" s="556"/>
      <c r="B436" s="556"/>
      <c r="C436" s="556"/>
      <c r="D436" s="556"/>
      <c r="E436" s="557"/>
    </row>
    <row r="437" spans="1:5" x14ac:dyDescent="0.25">
      <c r="A437" s="556"/>
      <c r="B437" s="556"/>
      <c r="C437" s="556"/>
      <c r="D437" s="556"/>
      <c r="E437" s="557"/>
    </row>
    <row r="438" spans="1:5" x14ac:dyDescent="0.25">
      <c r="A438" s="556"/>
      <c r="B438" s="556"/>
      <c r="C438" s="556"/>
      <c r="D438" s="556"/>
      <c r="E438" s="557"/>
    </row>
    <row r="439" spans="1:5" x14ac:dyDescent="0.25">
      <c r="A439" s="556"/>
      <c r="B439" s="556"/>
      <c r="C439" s="556"/>
      <c r="D439" s="556"/>
      <c r="E439" s="557"/>
    </row>
    <row r="440" spans="1:5" x14ac:dyDescent="0.25">
      <c r="A440" s="556"/>
      <c r="B440" s="556"/>
      <c r="C440" s="556"/>
      <c r="D440" s="556"/>
      <c r="E440" s="557"/>
    </row>
    <row r="441" spans="1:5" x14ac:dyDescent="0.25">
      <c r="A441" s="556"/>
      <c r="B441" s="556"/>
      <c r="C441" s="556"/>
      <c r="D441" s="556"/>
      <c r="E441" s="557"/>
    </row>
    <row r="442" spans="1:5" x14ac:dyDescent="0.25">
      <c r="A442" s="556"/>
      <c r="B442" s="556"/>
      <c r="C442" s="556"/>
      <c r="D442" s="556"/>
      <c r="E442" s="557"/>
    </row>
    <row r="443" spans="1:5" x14ac:dyDescent="0.25">
      <c r="A443" s="556"/>
      <c r="B443" s="556"/>
      <c r="C443" s="556"/>
      <c r="D443" s="556"/>
      <c r="E443" s="557"/>
    </row>
    <row r="444" spans="1:5" x14ac:dyDescent="0.25">
      <c r="A444" s="556"/>
      <c r="B444" s="556"/>
      <c r="C444" s="556"/>
      <c r="D444" s="556"/>
      <c r="E444" s="557"/>
    </row>
    <row r="445" spans="1:5" x14ac:dyDescent="0.25">
      <c r="A445" s="556"/>
      <c r="B445" s="556"/>
      <c r="C445" s="556"/>
      <c r="D445" s="556"/>
      <c r="E445" s="557"/>
    </row>
    <row r="446" spans="1:5" x14ac:dyDescent="0.25">
      <c r="A446" s="556"/>
      <c r="B446" s="556"/>
      <c r="C446" s="556"/>
      <c r="D446" s="556"/>
      <c r="E446" s="557"/>
    </row>
    <row r="447" spans="1:5" x14ac:dyDescent="0.25">
      <c r="A447" s="556"/>
      <c r="B447" s="556"/>
      <c r="C447" s="556"/>
      <c r="D447" s="556"/>
      <c r="E447" s="557"/>
    </row>
    <row r="448" spans="1:5" x14ac:dyDescent="0.25">
      <c r="A448" s="556"/>
      <c r="B448" s="556"/>
      <c r="C448" s="556"/>
      <c r="D448" s="556"/>
      <c r="E448" s="557"/>
    </row>
    <row r="449" spans="1:5" x14ac:dyDescent="0.25">
      <c r="A449" s="556"/>
      <c r="B449" s="556"/>
      <c r="C449" s="556"/>
      <c r="D449" s="556"/>
      <c r="E449" s="557"/>
    </row>
    <row r="450" spans="1:5" x14ac:dyDescent="0.25">
      <c r="A450" s="556"/>
      <c r="B450" s="556"/>
      <c r="C450" s="556"/>
      <c r="D450" s="556"/>
      <c r="E450" s="557"/>
    </row>
    <row r="451" spans="1:5" x14ac:dyDescent="0.25">
      <c r="A451" s="556"/>
      <c r="B451" s="556"/>
      <c r="C451" s="556"/>
      <c r="D451" s="556"/>
      <c r="E451" s="557"/>
    </row>
    <row r="452" spans="1:5" x14ac:dyDescent="0.25">
      <c r="A452" s="556"/>
      <c r="B452" s="556"/>
      <c r="C452" s="556"/>
      <c r="D452" s="556"/>
      <c r="E452" s="557"/>
    </row>
    <row r="453" spans="1:5" x14ac:dyDescent="0.25">
      <c r="A453" s="556"/>
      <c r="B453" s="556"/>
      <c r="C453" s="556"/>
      <c r="D453" s="556"/>
      <c r="E453" s="557"/>
    </row>
    <row r="454" spans="1:5" x14ac:dyDescent="0.25">
      <c r="A454" s="559" t="s">
        <v>1051</v>
      </c>
      <c r="B454" s="559"/>
      <c r="C454" s="559"/>
      <c r="D454" s="559"/>
      <c r="E454" s="561">
        <f>((E428-E429-E430-E431-E432)+(E433+E434+E435+E436+E437+E438+E439+E440+E441))-((E442-E443-E444)+(E445+E446+E447))-((E448-E449-E450)+(E451+E452+E453))</f>
        <v>262</v>
      </c>
    </row>
    <row r="455" spans="1:5" x14ac:dyDescent="0.25">
      <c r="A455" s="556" t="s">
        <v>1010</v>
      </c>
      <c r="B455" s="556" t="s">
        <v>1010</v>
      </c>
      <c r="C455" s="556">
        <v>3100</v>
      </c>
      <c r="D455" s="565" t="s">
        <v>1042</v>
      </c>
      <c r="E455" s="557">
        <f>SUMIFS('Accounting data'!$G$2:$G$37003,'Accounting data'!$J$2:$J$37003,"31*",'Accounting data'!$K$2:$K$37003,"63*")+SUMIFS('Accounting data'!$G$2:$G$37003,'Accounting data'!$J$2:$J$37003,"31*",'Accounting data'!$K$2:$K$37003,"64*")+SUMIFS('Accounting data'!$G$2:$G$37003,'Accounting data'!$J$2:$J$37003,"31*",'Accounting data'!$K$2:$K$37003,"65*")</f>
        <v>0</v>
      </c>
    </row>
    <row r="456" spans="1:5" x14ac:dyDescent="0.25">
      <c r="A456" s="556" t="s">
        <v>1011</v>
      </c>
      <c r="B456" s="556" t="s">
        <v>1010</v>
      </c>
      <c r="C456" s="556">
        <v>3100</v>
      </c>
      <c r="D456" s="556">
        <v>6300</v>
      </c>
      <c r="E456" s="557">
        <f>SUMIFS('Accounting data'!$G$2:$G$37003,'Accounting data'!$H$2:$H$37003,"9999*",'Accounting data'!$J$2:$J$37003,"31*",'Accounting data'!$K$2:$K$37003,"63*")</f>
        <v>0</v>
      </c>
    </row>
    <row r="457" spans="1:5" x14ac:dyDescent="0.25">
      <c r="A457" s="556" t="s">
        <v>1011</v>
      </c>
      <c r="B457" s="556" t="s">
        <v>1010</v>
      </c>
      <c r="C457" s="556">
        <v>3100</v>
      </c>
      <c r="D457" s="556">
        <v>6400</v>
      </c>
      <c r="E457" s="557">
        <f>SUMIFS('Accounting data'!$G$2:$G$37003,'Accounting data'!$H$2:$H$37003,"9999*",'Accounting data'!$J$2:$J$37003,"31*",'Accounting data'!$K$2:$K$37003,"64*")</f>
        <v>0</v>
      </c>
    </row>
    <row r="458" spans="1:5" x14ac:dyDescent="0.25">
      <c r="A458" s="556" t="s">
        <v>1011</v>
      </c>
      <c r="B458" s="556" t="s">
        <v>1010</v>
      </c>
      <c r="C458" s="556">
        <v>3100</v>
      </c>
      <c r="D458" s="556">
        <v>6500</v>
      </c>
      <c r="E458" s="557">
        <f>SUMIFS('Accounting data'!$G$2:$G$37003,'Accounting data'!$H$2:$H$37003,"9999*",'Accounting data'!$J$2:$J$37003,"31*",'Accounting data'!$K$2:$K$37003,"65*")</f>
        <v>0</v>
      </c>
    </row>
    <row r="459" spans="1:5" x14ac:dyDescent="0.25">
      <c r="A459" s="556" t="s">
        <v>1010</v>
      </c>
      <c r="B459" s="556" t="s">
        <v>1012</v>
      </c>
      <c r="C459" s="556">
        <v>3100</v>
      </c>
      <c r="D459" s="565" t="s">
        <v>1042</v>
      </c>
      <c r="E459" s="557">
        <f>SUMIFS('Accounting data'!$G$2:$G$37003,'Accounting data'!$I$2:$I$37003,"7*",'Accounting data'!$J$2:$J$37003,"31*",'Accounting data'!$K$2:$K$37003,"63*")+SUMIFS('Accounting data'!$G$2:$G$37003,'Accounting data'!$I$2:$I$37003,"8*",'Accounting data'!$J$2:$J$37003,"31*",'Accounting data'!$K$2:$K$37003,"63*")+SUMIFS('Accounting data'!$G$2:$G$37003,'Accounting data'!$I$2:$I$37003,"9*",'Accounting data'!$J$2:$J$37003,"31*",'Accounting data'!$K$2:$K$37003,"63*")+SUMIFS('Accounting data'!$G$2:$G$37003,'Accounting data'!$I$2:$I$37003,"7*",'Accounting data'!$J$2:$J$37003,"31*",'Accounting data'!$K$2:$K$37003,"64*")+SUMIFS('Accounting data'!$G$2:$G$37003,'Accounting data'!$I$2:$I$37003,"8*",'Accounting data'!$J$2:$J$37003,"31*",'Accounting data'!$K$2:$K$37003,"64*")+SUMIFS('Accounting data'!$G$2:$G$37003,'Accounting data'!$I$2:$I$37003,"9*",'Accounting data'!$J$2:$J$37003,"31*",'Accounting data'!$K$2:$K$37003,"64*")+SUMIFS('Accounting data'!$G$2:$G$37003,'Accounting data'!$I$2:$I$37003,"7*",'Accounting data'!$J$2:$J$37003,"31*",'Accounting data'!$K$2:$K$37003,"65*")+SUMIFS('Accounting data'!$G$2:$G$37003,'Accounting data'!$I$2:$I$37003,"8*",'Accounting data'!$J$2:$J$37003,"31*",'Accounting data'!$K$2:$K$37003,"65*")+SUMIFS('Accounting data'!$G$2:$G$37003,'Accounting data'!$I$2:$I$37003,"9*",'Accounting data'!$J$2:$J$37003,"31*",'Accounting data'!$K$2:$K$37003,"65*")</f>
        <v>0</v>
      </c>
    </row>
    <row r="460" spans="1:5" x14ac:dyDescent="0.25">
      <c r="A460" s="558" t="s">
        <v>1011</v>
      </c>
      <c r="B460" s="556" t="s">
        <v>1012</v>
      </c>
      <c r="C460" s="556">
        <v>3100</v>
      </c>
      <c r="D460" s="556">
        <v>6300</v>
      </c>
      <c r="E460" s="557">
        <f>SUMIFS('Accounting data'!$G$2:$G$37003,'Accounting data'!$H$2:$H$37003,"9999*",'Accounting data'!$I$2:$I$37003,"7*",'Accounting data'!$J$2:$J$37003,"31*",'Accounting data'!$K$2:$K$37003,"63*")+SUMIFS('Accounting data'!$G$2:$G$37003,'Accounting data'!$H$2:$H$37003,"9999*",'Accounting data'!$I$2:$I$37003,"8*",'Accounting data'!$J$2:$J$37003,"31*",'Accounting data'!$K$2:$K$37003,"63*")+SUMIFS('Accounting data'!$G$2:$G$37003,'Accounting data'!$H$2:$H$37003,"9999*",'Accounting data'!$I$2:$I$37003,"9*",'Accounting data'!$J$2:$J$37003,"31*",'Accounting data'!$K$2:$K$37003,"63*")</f>
        <v>0</v>
      </c>
    </row>
    <row r="461" spans="1:5" x14ac:dyDescent="0.25">
      <c r="A461" s="558" t="s">
        <v>1011</v>
      </c>
      <c r="B461" s="556" t="s">
        <v>1012</v>
      </c>
      <c r="C461" s="556">
        <v>3100</v>
      </c>
      <c r="D461" s="556">
        <v>6400</v>
      </c>
      <c r="E461" s="557">
        <f>SUMIFS('Accounting data'!$G$2:$G$37003,'Accounting data'!$H$2:$H$37003,"9999*",'Accounting data'!$I$2:$I$37003,"7*",'Accounting data'!$J$2:$J$37003,"31*",'Accounting data'!$K$2:$K$37003,"64*")+SUMIFS('Accounting data'!$G$2:$G$37003,'Accounting data'!$H$2:$H$37003,"9999*",'Accounting data'!$I$2:$I$37003,"8*",'Accounting data'!$J$2:$J$37003,"31*",'Accounting data'!$K$2:$K$37003,"64*")+SUMIFS('Accounting data'!$G$2:$G$37003,'Accounting data'!$H$2:$H$37003,"9999*",'Accounting data'!$I$2:$I$37003,"9*",'Accounting data'!$J$2:$J$37003,"31*",'Accounting data'!$K$2:$K$37003,"64*")</f>
        <v>0</v>
      </c>
    </row>
    <row r="462" spans="1:5" x14ac:dyDescent="0.25">
      <c r="A462" s="558" t="s">
        <v>1011</v>
      </c>
      <c r="B462" s="556" t="s">
        <v>1012</v>
      </c>
      <c r="C462" s="556">
        <v>3100</v>
      </c>
      <c r="D462" s="556">
        <v>6500</v>
      </c>
      <c r="E462" s="557">
        <f>SUMIFS('Accounting data'!$G$2:$G$37003,'Accounting data'!$H$2:$H$37003,"9999*",'Accounting data'!$I$2:$I$37003,"7*",'Accounting data'!$J$2:$J$37003,"31*",'Accounting data'!$K$2:$K$37003,"65*")+SUMIFS('Accounting data'!$G$2:$G$37003,'Accounting data'!$H$2:$H$37003,"9999*",'Accounting data'!$I$2:$I$37003,"8*",'Accounting data'!$J$2:$J$37003,"31*",'Accounting data'!$K$2:$K$37003,"65*")+SUMIFS('Accounting data'!$G$2:$G$37003,'Accounting data'!$H$2:$H$37003,"9999*",'Accounting data'!$I$2:$I$37003,"9*",'Accounting data'!$J$2:$J$37003,"31*",'Accounting data'!$K$2:$K$37003,"65*")</f>
        <v>0</v>
      </c>
    </row>
    <row r="463" spans="1:5" x14ac:dyDescent="0.25">
      <c r="A463" s="556"/>
      <c r="B463" s="556"/>
      <c r="C463" s="556"/>
      <c r="D463" s="556"/>
      <c r="E463" s="557"/>
    </row>
    <row r="464" spans="1:5" x14ac:dyDescent="0.25">
      <c r="A464" s="556"/>
      <c r="B464" s="556"/>
      <c r="C464" s="556"/>
      <c r="D464" s="556"/>
      <c r="E464" s="557"/>
    </row>
    <row r="465" spans="1:5" x14ac:dyDescent="0.25">
      <c r="A465" s="556"/>
      <c r="B465" s="556"/>
      <c r="C465" s="556"/>
      <c r="D465" s="556"/>
      <c r="E465" s="557"/>
    </row>
    <row r="466" spans="1:5" x14ac:dyDescent="0.25">
      <c r="A466" s="556"/>
      <c r="B466" s="556"/>
      <c r="C466" s="556"/>
      <c r="D466" s="556"/>
      <c r="E466" s="557"/>
    </row>
    <row r="467" spans="1:5" x14ac:dyDescent="0.25">
      <c r="A467" s="556"/>
      <c r="B467" s="556"/>
      <c r="C467" s="556"/>
      <c r="D467" s="556"/>
      <c r="E467" s="557"/>
    </row>
    <row r="468" spans="1:5" x14ac:dyDescent="0.25">
      <c r="A468" s="556"/>
      <c r="B468" s="556"/>
      <c r="C468" s="556"/>
      <c r="D468" s="556"/>
      <c r="E468" s="557"/>
    </row>
    <row r="469" spans="1:5" x14ac:dyDescent="0.25">
      <c r="A469" s="556"/>
      <c r="B469" s="556"/>
      <c r="C469" s="556"/>
      <c r="D469" s="556"/>
      <c r="E469" s="557"/>
    </row>
    <row r="470" spans="1:5" x14ac:dyDescent="0.25">
      <c r="A470" s="556"/>
      <c r="B470" s="556"/>
      <c r="C470" s="556"/>
      <c r="D470" s="556"/>
      <c r="E470" s="557"/>
    </row>
    <row r="471" spans="1:5" x14ac:dyDescent="0.25">
      <c r="A471" s="556"/>
      <c r="B471" s="556"/>
      <c r="C471" s="556"/>
      <c r="D471" s="556"/>
      <c r="E471" s="557"/>
    </row>
    <row r="472" spans="1:5" x14ac:dyDescent="0.25">
      <c r="A472" s="558"/>
      <c r="B472" s="556"/>
      <c r="C472" s="556"/>
      <c r="D472" s="556"/>
      <c r="E472" s="557"/>
    </row>
    <row r="473" spans="1:5" x14ac:dyDescent="0.25">
      <c r="A473" s="556"/>
      <c r="B473" s="556"/>
      <c r="C473" s="556"/>
      <c r="D473" s="556"/>
      <c r="E473" s="557"/>
    </row>
    <row r="474" spans="1:5" x14ac:dyDescent="0.25">
      <c r="A474" s="556"/>
      <c r="B474" s="556"/>
      <c r="C474" s="556"/>
      <c r="D474" s="556"/>
      <c r="E474" s="557"/>
    </row>
    <row r="475" spans="1:5" x14ac:dyDescent="0.25">
      <c r="A475" s="556"/>
      <c r="B475" s="556"/>
      <c r="C475" s="556"/>
      <c r="D475" s="556"/>
      <c r="E475" s="557"/>
    </row>
    <row r="476" spans="1:5" x14ac:dyDescent="0.25">
      <c r="A476" s="556"/>
      <c r="B476" s="556"/>
      <c r="C476" s="556"/>
      <c r="D476" s="556"/>
      <c r="E476" s="557"/>
    </row>
    <row r="477" spans="1:5" x14ac:dyDescent="0.25">
      <c r="A477" s="556"/>
      <c r="B477" s="556"/>
      <c r="C477" s="556"/>
      <c r="D477" s="556"/>
      <c r="E477" s="557"/>
    </row>
    <row r="478" spans="1:5" x14ac:dyDescent="0.25">
      <c r="A478" s="558"/>
      <c r="B478" s="556"/>
      <c r="C478" s="556"/>
      <c r="D478" s="556"/>
      <c r="E478" s="557"/>
    </row>
    <row r="479" spans="1:5" x14ac:dyDescent="0.25">
      <c r="A479" s="556"/>
      <c r="B479" s="556"/>
      <c r="C479" s="556"/>
      <c r="D479" s="556"/>
      <c r="E479" s="557"/>
    </row>
    <row r="480" spans="1:5" x14ac:dyDescent="0.25">
      <c r="A480" s="556"/>
      <c r="B480" s="556"/>
      <c r="C480" s="556"/>
      <c r="D480" s="556"/>
      <c r="E480" s="557"/>
    </row>
    <row r="481" spans="1:5" x14ac:dyDescent="0.25">
      <c r="A481" s="559" t="s">
        <v>1052</v>
      </c>
      <c r="B481" s="559"/>
      <c r="C481" s="559"/>
      <c r="D481" s="559"/>
      <c r="E481" s="561">
        <f>((E455-E456-E457-E458-E459)+(E460+E461+E462+E463+E464+E465+E466+E467+E468))-((E469-E470-E471)+(E472+E473+E474))-((E475-E476-E477)+(E478+E479+E480))</f>
        <v>0</v>
      </c>
    </row>
    <row r="482" spans="1:5" x14ac:dyDescent="0.25">
      <c r="A482" s="556"/>
      <c r="B482" s="556"/>
      <c r="C482" s="556"/>
      <c r="D482" s="565"/>
      <c r="E482" s="557"/>
    </row>
    <row r="483" spans="1:5" x14ac:dyDescent="0.25">
      <c r="A483" s="556"/>
      <c r="B483" s="556"/>
      <c r="C483" s="556"/>
      <c r="D483" s="556"/>
      <c r="E483" s="557"/>
    </row>
    <row r="484" spans="1:5" x14ac:dyDescent="0.25">
      <c r="A484" s="556"/>
      <c r="B484" s="556"/>
      <c r="C484" s="556"/>
      <c r="D484" s="556"/>
      <c r="E484" s="557"/>
    </row>
    <row r="485" spans="1:5" x14ac:dyDescent="0.25">
      <c r="A485" s="556"/>
      <c r="B485" s="556"/>
      <c r="C485" s="556"/>
      <c r="D485" s="556"/>
      <c r="E485" s="557"/>
    </row>
    <row r="486" spans="1:5" x14ac:dyDescent="0.25">
      <c r="A486" s="556"/>
      <c r="B486" s="556"/>
      <c r="C486" s="556"/>
      <c r="D486" s="565"/>
      <c r="E486" s="557"/>
    </row>
    <row r="487" spans="1:5" x14ac:dyDescent="0.25">
      <c r="A487" s="558"/>
      <c r="B487" s="556"/>
      <c r="C487" s="556"/>
      <c r="D487" s="556"/>
      <c r="E487" s="557"/>
    </row>
    <row r="488" spans="1:5" x14ac:dyDescent="0.25">
      <c r="A488" s="558"/>
      <c r="B488" s="556"/>
      <c r="C488" s="556"/>
      <c r="D488" s="556"/>
      <c r="E488" s="557"/>
    </row>
    <row r="489" spans="1:5" x14ac:dyDescent="0.25">
      <c r="A489" s="558"/>
      <c r="B489" s="556"/>
      <c r="C489" s="556"/>
      <c r="D489" s="556"/>
      <c r="E489" s="557"/>
    </row>
    <row r="490" spans="1:5" x14ac:dyDescent="0.25">
      <c r="A490" s="556"/>
      <c r="B490" s="556"/>
      <c r="C490" s="556"/>
      <c r="D490" s="556"/>
      <c r="E490" s="557"/>
    </row>
    <row r="491" spans="1:5" x14ac:dyDescent="0.25">
      <c r="A491" s="556"/>
      <c r="B491" s="556"/>
      <c r="C491" s="556"/>
      <c r="D491" s="556"/>
      <c r="E491" s="557"/>
    </row>
    <row r="492" spans="1:5" x14ac:dyDescent="0.25">
      <c r="A492" s="556"/>
      <c r="B492" s="556"/>
      <c r="C492" s="556"/>
      <c r="D492" s="556"/>
      <c r="E492" s="557"/>
    </row>
    <row r="493" spans="1:5" x14ac:dyDescent="0.25">
      <c r="A493" s="556"/>
      <c r="B493" s="556"/>
      <c r="C493" s="556"/>
      <c r="D493" s="556"/>
      <c r="E493" s="557"/>
    </row>
    <row r="494" spans="1:5" x14ac:dyDescent="0.25">
      <c r="A494" s="556"/>
      <c r="B494" s="556"/>
      <c r="C494" s="556"/>
      <c r="D494" s="556"/>
      <c r="E494" s="557"/>
    </row>
    <row r="495" spans="1:5" x14ac:dyDescent="0.25">
      <c r="A495" s="556"/>
      <c r="B495" s="556"/>
      <c r="C495" s="556"/>
      <c r="D495" s="556"/>
      <c r="E495" s="557"/>
    </row>
    <row r="496" spans="1:5" x14ac:dyDescent="0.25">
      <c r="A496" s="556"/>
      <c r="B496" s="556"/>
      <c r="C496" s="556"/>
      <c r="D496" s="556"/>
      <c r="E496" s="557"/>
    </row>
    <row r="497" spans="1:5" x14ac:dyDescent="0.25">
      <c r="A497" s="556"/>
      <c r="B497" s="556"/>
      <c r="C497" s="556"/>
      <c r="D497" s="556"/>
      <c r="E497" s="557"/>
    </row>
    <row r="498" spans="1:5" x14ac:dyDescent="0.25">
      <c r="A498" s="556"/>
      <c r="B498" s="556"/>
      <c r="C498" s="556"/>
      <c r="D498" s="556"/>
      <c r="E498" s="557"/>
    </row>
    <row r="499" spans="1:5" x14ac:dyDescent="0.25">
      <c r="A499" s="558"/>
      <c r="B499" s="556"/>
      <c r="C499" s="556"/>
      <c r="D499" s="556"/>
      <c r="E499" s="557"/>
    </row>
    <row r="500" spans="1:5" x14ac:dyDescent="0.25">
      <c r="A500" s="556"/>
      <c r="B500" s="556"/>
      <c r="C500" s="556"/>
      <c r="D500" s="556"/>
      <c r="E500" s="557"/>
    </row>
    <row r="501" spans="1:5" x14ac:dyDescent="0.25">
      <c r="A501" s="556"/>
      <c r="B501" s="556"/>
      <c r="C501" s="556"/>
      <c r="D501" s="556"/>
      <c r="E501" s="557"/>
    </row>
    <row r="502" spans="1:5" x14ac:dyDescent="0.25">
      <c r="A502" s="556"/>
      <c r="B502" s="556"/>
      <c r="C502" s="556"/>
      <c r="D502" s="556"/>
      <c r="E502" s="557"/>
    </row>
    <row r="503" spans="1:5" x14ac:dyDescent="0.25">
      <c r="A503" s="556"/>
      <c r="B503" s="556"/>
      <c r="C503" s="556"/>
      <c r="D503" s="556"/>
      <c r="E503" s="557"/>
    </row>
    <row r="504" spans="1:5" x14ac:dyDescent="0.25">
      <c r="A504" s="556"/>
      <c r="B504" s="556"/>
      <c r="C504" s="556"/>
      <c r="D504" s="556"/>
      <c r="E504" s="557"/>
    </row>
    <row r="505" spans="1:5" x14ac:dyDescent="0.25">
      <c r="A505" s="558"/>
      <c r="B505" s="556"/>
      <c r="C505" s="556"/>
      <c r="D505" s="556"/>
      <c r="E505" s="557"/>
    </row>
    <row r="506" spans="1:5" x14ac:dyDescent="0.25">
      <c r="A506" s="556"/>
      <c r="B506" s="556"/>
      <c r="C506" s="556"/>
      <c r="D506" s="556"/>
      <c r="E506" s="557"/>
    </row>
    <row r="507" spans="1:5" x14ac:dyDescent="0.25">
      <c r="A507" s="556"/>
      <c r="B507" s="556"/>
      <c r="C507" s="556"/>
      <c r="D507" s="556"/>
      <c r="E507" s="557"/>
    </row>
    <row r="508" spans="1:5" x14ac:dyDescent="0.25">
      <c r="A508" s="559"/>
      <c r="B508" s="559"/>
      <c r="C508" s="559"/>
      <c r="D508" s="559"/>
      <c r="E508" s="561"/>
    </row>
    <row r="509" spans="1:5" x14ac:dyDescent="0.25">
      <c r="A509" s="556" t="s">
        <v>1010</v>
      </c>
      <c r="B509" s="556" t="s">
        <v>1010</v>
      </c>
      <c r="C509" s="556">
        <v>3400</v>
      </c>
      <c r="D509" s="565" t="s">
        <v>1042</v>
      </c>
      <c r="E509" s="557">
        <f>SUMIFS('Accounting data'!$G$2:$G$37003,'Accounting data'!$J$2:$J$37003,"34*",'Accounting data'!$K$2:$K$37003,"63*")+SUMIFS('Accounting data'!$G$2:$G$37003,'Accounting data'!$J$2:$J$37003,"34*",'Accounting data'!$K$2:$K$37003,"64*")+SUMIFS('Accounting data'!$G$2:$G$37003,'Accounting data'!$J$2:$J$37003,"34*",'Accounting data'!$K$2:$K$37003,"65*")</f>
        <v>0</v>
      </c>
    </row>
    <row r="510" spans="1:5" x14ac:dyDescent="0.25">
      <c r="A510" s="556" t="s">
        <v>1011</v>
      </c>
      <c r="B510" s="556" t="s">
        <v>1010</v>
      </c>
      <c r="C510" s="556">
        <v>3400</v>
      </c>
      <c r="D510" s="556">
        <v>6300</v>
      </c>
      <c r="E510" s="557">
        <f>SUMIFS('Accounting data'!$G$2:$G$37003,'Accounting data'!$H$2:$H$37003,"9999*",'Accounting data'!$J$2:$J$37003,"34*",'Accounting data'!$K$2:$K$37003,"63*")</f>
        <v>0</v>
      </c>
    </row>
    <row r="511" spans="1:5" x14ac:dyDescent="0.25">
      <c r="A511" s="556" t="s">
        <v>1011</v>
      </c>
      <c r="B511" s="556" t="s">
        <v>1010</v>
      </c>
      <c r="C511" s="556">
        <v>3400</v>
      </c>
      <c r="D511" s="556">
        <v>6400</v>
      </c>
      <c r="E511" s="557">
        <f>SUMIFS('Accounting data'!$G$2:$G$37003,'Accounting data'!$H$2:$H$37003,"9999*",'Accounting data'!$J$2:$J$37003,"34*",'Accounting data'!$K$2:$K$37003,"64*")</f>
        <v>0</v>
      </c>
    </row>
    <row r="512" spans="1:5" x14ac:dyDescent="0.25">
      <c r="A512" s="556" t="s">
        <v>1011</v>
      </c>
      <c r="B512" s="556" t="s">
        <v>1010</v>
      </c>
      <c r="C512" s="556">
        <v>3400</v>
      </c>
      <c r="D512" s="556">
        <v>6500</v>
      </c>
      <c r="E512" s="557">
        <f>SUMIFS('Accounting data'!$G$2:$G$37003,'Accounting data'!$H$2:$H$37003,"9999*",'Accounting data'!$J$2:$J$37003,"34*",'Accounting data'!$K$2:$K$37003,"65*")</f>
        <v>0</v>
      </c>
    </row>
    <row r="513" spans="1:5" x14ac:dyDescent="0.25">
      <c r="A513" s="556" t="s">
        <v>1010</v>
      </c>
      <c r="B513" s="556" t="s">
        <v>1012</v>
      </c>
      <c r="C513" s="556">
        <v>3400</v>
      </c>
      <c r="D513" s="565" t="s">
        <v>1042</v>
      </c>
      <c r="E513" s="557">
        <f>SUMIFS('Accounting data'!$G$2:$G$37003,'Accounting data'!$I$2:$I$37003,"7*",'Accounting data'!$J$2:$J$37003,"34*",'Accounting data'!$K$2:$K$37003,"63*")+SUMIFS('Accounting data'!$G$2:$G$37003,'Accounting data'!$I$2:$I$37003,"8*",'Accounting data'!$J$2:$J$37003,"34*",'Accounting data'!$K$2:$K$37003,"63*")+SUMIFS('Accounting data'!$G$2:$G$37003,'Accounting data'!$I$2:$I$37003,"9*",'Accounting data'!$J$2:$J$37003,"34*",'Accounting data'!$K$2:$K$37003,"63*")+SUMIFS('Accounting data'!$G$2:$G$37003,'Accounting data'!$I$2:$I$37003,"7*",'Accounting data'!$J$2:$J$37003,"34*",'Accounting data'!$K$2:$K$37003,"64*")+SUMIFS('Accounting data'!$G$2:$G$37003,'Accounting data'!$I$2:$I$37003,"8*",'Accounting data'!$J$2:$J$37003,"34*",'Accounting data'!$K$2:$K$37003,"64*")+SUMIFS('Accounting data'!$G$2:$G$37003,'Accounting data'!$I$2:$I$37003,"9*",'Accounting data'!$J$2:$J$37003,"34*",'Accounting data'!$K$2:$K$37003,"64*")+SUMIFS('Accounting data'!$G$2:$G$37003,'Accounting data'!$I$2:$I$37003,"7*",'Accounting data'!$J$2:$J$37003,"34*",'Accounting data'!$K$2:$K$37003,"65*")+SUMIFS('Accounting data'!$G$2:$G$37003,'Accounting data'!$I$2:$I$37003,"8*",'Accounting data'!$J$2:$J$37003,"34*",'Accounting data'!$K$2:$K$37003,"65*")+SUMIFS('Accounting data'!$G$2:$G$37003,'Accounting data'!$I$2:$I$37003,"9*",'Accounting data'!$J$2:$J$37003,"34*",'Accounting data'!$K$2:$K$37003,"65*")</f>
        <v>0</v>
      </c>
    </row>
    <row r="514" spans="1:5" x14ac:dyDescent="0.25">
      <c r="A514" s="558" t="s">
        <v>1011</v>
      </c>
      <c r="B514" s="556" t="s">
        <v>1012</v>
      </c>
      <c r="C514" s="556">
        <v>3400</v>
      </c>
      <c r="D514" s="556">
        <v>6300</v>
      </c>
      <c r="E514" s="557">
        <f>SUMIFS('Accounting data'!$G$2:$G$37003,'Accounting data'!$H$2:$H$37003,"9999*",'Accounting data'!$I$2:$I$37003,"7*",'Accounting data'!$J$2:$J$37003,"34*",'Accounting data'!$K$2:$K$37003,"63*")+SUMIFS('Accounting data'!$G$2:$G$37003,'Accounting data'!$H$2:$H$37003,"9999*",'Accounting data'!$I$2:$I$37003,"8*",'Accounting data'!$J$2:$J$37003,"34*",'Accounting data'!$K$2:$K$37003,"63*")+SUMIFS('Accounting data'!$G$2:$G$37003,'Accounting data'!$H$2:$H$37003,"9999*",'Accounting data'!$I$2:$I$37003,"9*",'Accounting data'!$J$2:$J$37003,"34*",'Accounting data'!$K$2:$K$37003,"63*")</f>
        <v>0</v>
      </c>
    </row>
    <row r="515" spans="1:5" x14ac:dyDescent="0.25">
      <c r="A515" s="558" t="s">
        <v>1011</v>
      </c>
      <c r="B515" s="556" t="s">
        <v>1012</v>
      </c>
      <c r="C515" s="556">
        <v>3400</v>
      </c>
      <c r="D515" s="556">
        <v>6400</v>
      </c>
      <c r="E515" s="557">
        <f>SUMIFS('Accounting data'!$G$2:$G$37003,'Accounting data'!$H$2:$H$37003,"9999*",'Accounting data'!$I$2:$I$37003,"7*",'Accounting data'!$J$2:$J$37003,"34*",'Accounting data'!$K$2:$K$37003,"64*")+SUMIFS('Accounting data'!$G$2:$G$37003,'Accounting data'!$H$2:$H$37003,"9999*",'Accounting data'!$I$2:$I$37003,"8*",'Accounting data'!$J$2:$J$37003,"34*",'Accounting data'!$K$2:$K$37003,"64*")+SUMIFS('Accounting data'!$G$2:$G$37003,'Accounting data'!$H$2:$H$37003,"9999*",'Accounting data'!$I$2:$I$37003,"9*",'Accounting data'!$J$2:$J$37003,"34*",'Accounting data'!$K$2:$K$37003,"64*")</f>
        <v>0</v>
      </c>
    </row>
    <row r="516" spans="1:5" x14ac:dyDescent="0.25">
      <c r="A516" s="558" t="s">
        <v>1011</v>
      </c>
      <c r="B516" s="556" t="s">
        <v>1012</v>
      </c>
      <c r="C516" s="556">
        <v>3400</v>
      </c>
      <c r="D516" s="556">
        <v>6500</v>
      </c>
      <c r="E516" s="557">
        <f>SUMIFS('Accounting data'!$G$2:$G$37003,'Accounting data'!$H$2:$H$37003,"9999*",'Accounting data'!$I$2:$I$37003,"7*",'Accounting data'!$J$2:$J$37003,"34*",'Accounting data'!$K$2:$K$37003,"65*")+SUMIFS('Accounting data'!$G$2:$G$37003,'Accounting data'!$H$2:$H$37003,"9999*",'Accounting data'!$I$2:$I$37003,"8*",'Accounting data'!$J$2:$J$37003,"34*",'Accounting data'!$K$2:$K$37003,"65*")+SUMIFS('Accounting data'!$G$2:$G$37003,'Accounting data'!$H$2:$H$37003,"9999*",'Accounting data'!$I$2:$I$37003,"9*",'Accounting data'!$J$2:$J$37003,"34*",'Accounting data'!$K$2:$K$37003,"65*")</f>
        <v>0</v>
      </c>
    </row>
    <row r="517" spans="1:5" x14ac:dyDescent="0.25">
      <c r="A517" s="556"/>
      <c r="B517" s="556"/>
      <c r="C517" s="556"/>
      <c r="D517" s="556"/>
      <c r="E517" s="557"/>
    </row>
    <row r="518" spans="1:5" x14ac:dyDescent="0.25">
      <c r="A518" s="556"/>
      <c r="B518" s="556"/>
      <c r="C518" s="556"/>
      <c r="D518" s="556"/>
      <c r="E518" s="557"/>
    </row>
    <row r="519" spans="1:5" x14ac:dyDescent="0.25">
      <c r="A519" s="556"/>
      <c r="B519" s="556"/>
      <c r="C519" s="556"/>
      <c r="D519" s="556"/>
      <c r="E519" s="557"/>
    </row>
    <row r="520" spans="1:5" x14ac:dyDescent="0.25">
      <c r="A520" s="556"/>
      <c r="B520" s="556"/>
      <c r="C520" s="556"/>
      <c r="D520" s="556"/>
      <c r="E520" s="557"/>
    </row>
    <row r="521" spans="1:5" x14ac:dyDescent="0.25">
      <c r="A521" s="556"/>
      <c r="B521" s="556"/>
      <c r="C521" s="556"/>
      <c r="D521" s="556"/>
      <c r="E521" s="557"/>
    </row>
    <row r="522" spans="1:5" x14ac:dyDescent="0.25">
      <c r="A522" s="556"/>
      <c r="B522" s="556"/>
      <c r="C522" s="556"/>
      <c r="D522" s="556"/>
      <c r="E522" s="557"/>
    </row>
    <row r="523" spans="1:5" x14ac:dyDescent="0.25">
      <c r="A523" s="556"/>
      <c r="B523" s="556"/>
      <c r="C523" s="556"/>
      <c r="D523" s="556"/>
      <c r="E523" s="557"/>
    </row>
    <row r="524" spans="1:5" x14ac:dyDescent="0.25">
      <c r="A524" s="556"/>
      <c r="B524" s="556"/>
      <c r="C524" s="556"/>
      <c r="D524" s="556"/>
      <c r="E524" s="557"/>
    </row>
    <row r="525" spans="1:5" x14ac:dyDescent="0.25">
      <c r="A525" s="556"/>
      <c r="B525" s="556"/>
      <c r="C525" s="556"/>
      <c r="D525" s="556"/>
      <c r="E525" s="557"/>
    </row>
    <row r="526" spans="1:5" x14ac:dyDescent="0.25">
      <c r="A526" s="558"/>
      <c r="B526" s="556"/>
      <c r="C526" s="556"/>
      <c r="D526" s="556"/>
      <c r="E526" s="557"/>
    </row>
    <row r="527" spans="1:5" x14ac:dyDescent="0.25">
      <c r="A527" s="556"/>
      <c r="B527" s="556"/>
      <c r="C527" s="556"/>
      <c r="D527" s="556"/>
      <c r="E527" s="557"/>
    </row>
    <row r="528" spans="1:5" x14ac:dyDescent="0.25">
      <c r="A528" s="556"/>
      <c r="B528" s="556"/>
      <c r="C528" s="556"/>
      <c r="D528" s="556"/>
      <c r="E528" s="557"/>
    </row>
    <row r="529" spans="1:5" x14ac:dyDescent="0.25">
      <c r="A529" s="556"/>
      <c r="B529" s="556"/>
      <c r="C529" s="556"/>
      <c r="D529" s="556"/>
      <c r="E529" s="557"/>
    </row>
    <row r="530" spans="1:5" x14ac:dyDescent="0.25">
      <c r="A530" s="556"/>
      <c r="B530" s="556"/>
      <c r="C530" s="556"/>
      <c r="D530" s="556"/>
      <c r="E530" s="557"/>
    </row>
    <row r="531" spans="1:5" x14ac:dyDescent="0.25">
      <c r="A531" s="556"/>
      <c r="B531" s="556"/>
      <c r="C531" s="556"/>
      <c r="D531" s="556"/>
      <c r="E531" s="557"/>
    </row>
    <row r="532" spans="1:5" x14ac:dyDescent="0.25">
      <c r="A532" s="558"/>
      <c r="B532" s="556"/>
      <c r="C532" s="556"/>
      <c r="D532" s="556"/>
      <c r="E532" s="557"/>
    </row>
    <row r="533" spans="1:5" x14ac:dyDescent="0.25">
      <c r="A533" s="556"/>
      <c r="B533" s="556"/>
      <c r="C533" s="556"/>
      <c r="D533" s="556"/>
      <c r="E533" s="557"/>
    </row>
    <row r="534" spans="1:5" x14ac:dyDescent="0.25">
      <c r="A534" s="556"/>
      <c r="B534" s="556"/>
      <c r="C534" s="556"/>
      <c r="D534" s="556"/>
      <c r="E534" s="557"/>
    </row>
    <row r="535" spans="1:5" x14ac:dyDescent="0.25">
      <c r="A535" s="559" t="s">
        <v>1053</v>
      </c>
      <c r="B535" s="559"/>
      <c r="C535" s="559"/>
      <c r="D535" s="559"/>
      <c r="E535" s="561">
        <f>((E509-E510-E511-E512-E513)+(E514+E515+E516+E517+E518+E519+E520+E521+E522))-((E523-E524-E525)+(E526+E527+E528))-((E529-E530-E531)+(E532+E533+E534))</f>
        <v>0</v>
      </c>
    </row>
    <row r="536" spans="1:5" x14ac:dyDescent="0.25">
      <c r="A536" s="556" t="s">
        <v>1010</v>
      </c>
      <c r="B536" s="556" t="s">
        <v>1010</v>
      </c>
      <c r="C536" s="556">
        <v>4000</v>
      </c>
      <c r="D536" s="565" t="s">
        <v>1042</v>
      </c>
      <c r="E536" s="557">
        <f>SUMIFS('Accounting data'!$G$2:$G$37003,'Accounting data'!$J$2:$J$37003,"4*",'Accounting data'!$K$2:$K$37003,"63*")+SUMIFS('Accounting data'!$G$2:$G$37003,'Accounting data'!$J$2:$J$37003,"4*",'Accounting data'!$K$2:$K$37003,"64*")+SUMIFS('Accounting data'!$G$2:$G$37003,'Accounting data'!$J$2:$J$37003,"4*",'Accounting data'!$K$2:$K$37003,"65*")</f>
        <v>0</v>
      </c>
    </row>
    <row r="537" spans="1:5" x14ac:dyDescent="0.25">
      <c r="A537" s="556" t="s">
        <v>1011</v>
      </c>
      <c r="B537" s="556" t="s">
        <v>1010</v>
      </c>
      <c r="C537" s="556">
        <v>4000</v>
      </c>
      <c r="D537" s="556">
        <v>6300</v>
      </c>
      <c r="E537" s="557">
        <f>SUMIFS('Accounting data'!$G$2:$G$37003,'Accounting data'!$H$2:$H$37003,"9999*",'Accounting data'!$J$2:$J$37003,"4*",'Accounting data'!$K$2:$K$37003,"63*")</f>
        <v>0</v>
      </c>
    </row>
    <row r="538" spans="1:5" x14ac:dyDescent="0.25">
      <c r="A538" s="556" t="s">
        <v>1011</v>
      </c>
      <c r="B538" s="556" t="s">
        <v>1010</v>
      </c>
      <c r="C538" s="556">
        <v>4000</v>
      </c>
      <c r="D538" s="556">
        <v>6400</v>
      </c>
      <c r="E538" s="557">
        <f>SUMIFS('Accounting data'!$G$2:$G$37003,'Accounting data'!$H$2:$H$37003,"9999*",'Accounting data'!$J$2:$J$37003,"4*",'Accounting data'!$K$2:$K$37003,"64*")</f>
        <v>0</v>
      </c>
    </row>
    <row r="539" spans="1:5" x14ac:dyDescent="0.25">
      <c r="A539" s="556" t="s">
        <v>1011</v>
      </c>
      <c r="B539" s="556" t="s">
        <v>1010</v>
      </c>
      <c r="C539" s="556">
        <v>4000</v>
      </c>
      <c r="D539" s="556">
        <v>6500</v>
      </c>
      <c r="E539" s="557">
        <f>SUMIFS('Accounting data'!$G$2:$G$37003,'Accounting data'!$H$2:$H$37003,"9999*",'Accounting data'!$J$2:$J$37003,"4*",'Accounting data'!$K$2:$K$37003,"65*")</f>
        <v>0</v>
      </c>
    </row>
    <row r="540" spans="1:5" x14ac:dyDescent="0.25">
      <c r="A540" s="556" t="s">
        <v>1010</v>
      </c>
      <c r="B540" s="556" t="s">
        <v>1012</v>
      </c>
      <c r="C540" s="556">
        <v>4000</v>
      </c>
      <c r="D540" s="565" t="s">
        <v>1042</v>
      </c>
      <c r="E540" s="557">
        <f>SUMIFS('Accounting data'!$G$2:$G$37003,'Accounting data'!$I$2:$I$37003,"7*",'Accounting data'!$J$2:$J$37003,"4*",'Accounting data'!$K$2:$K$37003,"63*")+SUMIFS('Accounting data'!$G$2:$G$37003,'Accounting data'!$I$2:$I$37003,"8*",'Accounting data'!$J$2:$J$37003,"4*",'Accounting data'!$K$2:$K$37003,"63*")+SUMIFS('Accounting data'!$G$2:$G$37003,'Accounting data'!$I$2:$I$37003,"9*",'Accounting data'!$J$2:$J$37003,"4*",'Accounting data'!$K$2:$K$37003,"63*")+SUMIFS('Accounting data'!$G$2:$G$37003,'Accounting data'!$I$2:$I$37003,"7*",'Accounting data'!$J$2:$J$37003,"4*",'Accounting data'!$K$2:$K$37003,"64*")+SUMIFS('Accounting data'!$G$2:$G$37003,'Accounting data'!$I$2:$I$37003,"8*",'Accounting data'!$J$2:$J$37003,"4*",'Accounting data'!$K$2:$K$37003,"64*")+SUMIFS('Accounting data'!$G$2:$G$37003,'Accounting data'!$I$2:$I$37003,"9*",'Accounting data'!$J$2:$J$37003,"4*",'Accounting data'!$K$2:$K$37003,"64*")+SUMIFS('Accounting data'!$G$2:$G$37003,'Accounting data'!$I$2:$I$37003,"7*",'Accounting data'!$J$2:$J$37003,"4*",'Accounting data'!$K$2:$K$37003,"65*")+SUMIFS('Accounting data'!$G$2:$G$37003,'Accounting data'!$I$2:$I$37003,"8*",'Accounting data'!$J$2:$J$37003,"4*",'Accounting data'!$K$2:$K$37003,"65*")+SUMIFS('Accounting data'!$G$2:$G$37003,'Accounting data'!$I$2:$I$37003,"9*",'Accounting data'!$J$2:$J$37003,"4*",'Accounting data'!$K$2:$K$37003,"65*")</f>
        <v>0</v>
      </c>
    </row>
    <row r="541" spans="1:5" x14ac:dyDescent="0.25">
      <c r="A541" s="558" t="s">
        <v>1011</v>
      </c>
      <c r="B541" s="556" t="s">
        <v>1012</v>
      </c>
      <c r="C541" s="556">
        <v>4000</v>
      </c>
      <c r="D541" s="556">
        <v>6300</v>
      </c>
      <c r="E541" s="557">
        <f>SUMIFS('Accounting data'!$G$2:$G$37003,'Accounting data'!$H$2:$H$37003,"9999*",'Accounting data'!$I$2:$I$37003,"7*",'Accounting data'!$J$2:$J$37003,"4*",'Accounting data'!$K$2:$K$37003,"63*")+SUMIFS('Accounting data'!$G$2:$G$37003,'Accounting data'!$H$2:$H$37003,"9999*",'Accounting data'!$I$2:$I$37003,"8*",'Accounting data'!$J$2:$J$37003,"4*",'Accounting data'!$K$2:$K$37003,"63*")+SUMIFS('Accounting data'!$G$2:$G$37003,'Accounting data'!$H$2:$H$37003,"9999*",'Accounting data'!$I$2:$I$37003,"9*",'Accounting data'!$J$2:$J$37003,"4*",'Accounting data'!$K$2:$K$37003,"63*")</f>
        <v>0</v>
      </c>
    </row>
    <row r="542" spans="1:5" x14ac:dyDescent="0.25">
      <c r="A542" s="558" t="s">
        <v>1011</v>
      </c>
      <c r="B542" s="556" t="s">
        <v>1012</v>
      </c>
      <c r="C542" s="556">
        <v>4000</v>
      </c>
      <c r="D542" s="556">
        <v>6400</v>
      </c>
      <c r="E542" s="557">
        <f>SUMIFS('Accounting data'!$G$2:$G$37003,'Accounting data'!$H$2:$H$37003,"9999*",'Accounting data'!$I$2:$I$37003,"7*",'Accounting data'!$J$2:$J$37003,"4*",'Accounting data'!$K$2:$K$37003,"64*")+SUMIFS('Accounting data'!$G$2:$G$37003,'Accounting data'!$H$2:$H$37003,"9999*",'Accounting data'!$I$2:$I$37003,"8*",'Accounting data'!$J$2:$J$37003,"4*",'Accounting data'!$K$2:$K$37003,"64*")+SUMIFS('Accounting data'!$G$2:$G$37003,'Accounting data'!$H$2:$H$37003,"9999*",'Accounting data'!$I$2:$I$37003,"9*",'Accounting data'!$J$2:$J$37003,"4*",'Accounting data'!$K$2:$K$37003,"64*")</f>
        <v>0</v>
      </c>
    </row>
    <row r="543" spans="1:5" x14ac:dyDescent="0.25">
      <c r="A543" s="558" t="s">
        <v>1011</v>
      </c>
      <c r="B543" s="556" t="s">
        <v>1012</v>
      </c>
      <c r="C543" s="556">
        <v>4000</v>
      </c>
      <c r="D543" s="556">
        <v>6500</v>
      </c>
      <c r="E543" s="557">
        <f>SUMIFS('Accounting data'!$G$2:$G$37003,'Accounting data'!$H$2:$H$37003,"9999*",'Accounting data'!$I$2:$I$37003,"7*",'Accounting data'!$J$2:$J$37003,"4*",'Accounting data'!$K$2:$K$37003,"65*")+SUMIFS('Accounting data'!$G$2:$G$37003,'Accounting data'!$H$2:$H$37003,"9999*",'Accounting data'!$I$2:$I$37003,"8*",'Accounting data'!$J$2:$J$37003,"4*",'Accounting data'!$K$2:$K$37003,"65*")+SUMIFS('Accounting data'!$G$2:$G$37003,'Accounting data'!$H$2:$H$37003,"9999*",'Accounting data'!$I$2:$I$37003,"9*",'Accounting data'!$J$2:$J$37003,"4*",'Accounting data'!$K$2:$K$37003,"65*")</f>
        <v>0</v>
      </c>
    </row>
    <row r="544" spans="1:5" x14ac:dyDescent="0.25">
      <c r="A544" s="556"/>
      <c r="B544" s="556"/>
      <c r="C544" s="556"/>
      <c r="D544" s="556"/>
      <c r="E544" s="557"/>
    </row>
    <row r="545" spans="1:5" x14ac:dyDescent="0.25">
      <c r="A545" s="556"/>
      <c r="B545" s="556"/>
      <c r="C545" s="556"/>
      <c r="D545" s="556"/>
      <c r="E545" s="557"/>
    </row>
    <row r="546" spans="1:5" x14ac:dyDescent="0.25">
      <c r="A546" s="556"/>
      <c r="B546" s="556"/>
      <c r="C546" s="556"/>
      <c r="D546" s="556"/>
      <c r="E546" s="557"/>
    </row>
    <row r="547" spans="1:5" x14ac:dyDescent="0.25">
      <c r="A547" s="556"/>
      <c r="B547" s="556"/>
      <c r="C547" s="556"/>
      <c r="D547" s="556"/>
      <c r="E547" s="557"/>
    </row>
    <row r="548" spans="1:5" x14ac:dyDescent="0.25">
      <c r="A548" s="556"/>
      <c r="B548" s="556"/>
      <c r="C548" s="556"/>
      <c r="D548" s="556"/>
      <c r="E548" s="557"/>
    </row>
    <row r="549" spans="1:5" x14ac:dyDescent="0.25">
      <c r="A549" s="556"/>
      <c r="B549" s="556"/>
      <c r="C549" s="556"/>
      <c r="D549" s="556"/>
      <c r="E549" s="557"/>
    </row>
    <row r="550" spans="1:5" x14ac:dyDescent="0.25">
      <c r="A550" s="556"/>
      <c r="B550" s="556"/>
      <c r="C550" s="556"/>
      <c r="D550" s="556"/>
      <c r="E550" s="557"/>
    </row>
    <row r="551" spans="1:5" x14ac:dyDescent="0.25">
      <c r="A551" s="556"/>
      <c r="B551" s="556"/>
      <c r="C551" s="556"/>
      <c r="D551" s="556"/>
      <c r="E551" s="557"/>
    </row>
    <row r="552" spans="1:5" x14ac:dyDescent="0.25">
      <c r="A552" s="556"/>
      <c r="B552" s="556"/>
      <c r="C552" s="556"/>
      <c r="D552" s="556"/>
      <c r="E552" s="557"/>
    </row>
    <row r="553" spans="1:5" x14ac:dyDescent="0.25">
      <c r="A553" s="558"/>
      <c r="B553" s="556"/>
      <c r="C553" s="556"/>
      <c r="D553" s="556"/>
      <c r="E553" s="557"/>
    </row>
    <row r="554" spans="1:5" x14ac:dyDescent="0.25">
      <c r="A554" s="556"/>
      <c r="B554" s="556"/>
      <c r="C554" s="556"/>
      <c r="D554" s="556"/>
      <c r="E554" s="557"/>
    </row>
    <row r="555" spans="1:5" x14ac:dyDescent="0.25">
      <c r="A555" s="556"/>
      <c r="B555" s="556"/>
      <c r="C555" s="556"/>
      <c r="D555" s="556"/>
      <c r="E555" s="557"/>
    </row>
    <row r="556" spans="1:5" x14ac:dyDescent="0.25">
      <c r="A556" s="556"/>
      <c r="B556" s="556"/>
      <c r="C556" s="556"/>
      <c r="D556" s="556"/>
      <c r="E556" s="557"/>
    </row>
    <row r="557" spans="1:5" x14ac:dyDescent="0.25">
      <c r="A557" s="556"/>
      <c r="B557" s="556"/>
      <c r="C557" s="556"/>
      <c r="D557" s="556"/>
      <c r="E557" s="557"/>
    </row>
    <row r="558" spans="1:5" x14ac:dyDescent="0.25">
      <c r="A558" s="556"/>
      <c r="B558" s="556"/>
      <c r="C558" s="556"/>
      <c r="D558" s="556"/>
      <c r="E558" s="557"/>
    </row>
    <row r="559" spans="1:5" x14ac:dyDescent="0.25">
      <c r="A559" s="558"/>
      <c r="B559" s="556"/>
      <c r="C559" s="556"/>
      <c r="D559" s="556"/>
      <c r="E559" s="557"/>
    </row>
    <row r="560" spans="1:5" x14ac:dyDescent="0.25">
      <c r="A560" s="556"/>
      <c r="B560" s="556"/>
      <c r="C560" s="556"/>
      <c r="D560" s="556"/>
      <c r="E560" s="557"/>
    </row>
    <row r="561" spans="1:5" x14ac:dyDescent="0.25">
      <c r="A561" s="556"/>
      <c r="B561" s="556"/>
      <c r="C561" s="556"/>
      <c r="D561" s="556"/>
      <c r="E561" s="557"/>
    </row>
    <row r="562" spans="1:5" x14ac:dyDescent="0.25">
      <c r="A562" s="559" t="s">
        <v>1054</v>
      </c>
      <c r="B562" s="559"/>
      <c r="C562" s="559"/>
      <c r="D562" s="559"/>
      <c r="E562" s="561">
        <f>((E536-E537-E538-E539-E540)+(E541+E542+E543+E544+E545+E546+E547+E548+E549))-((E550-E551-E552)+(E553+E554+E555))-((E556-E557-E558)+(E559+E560+E561))</f>
        <v>0</v>
      </c>
    </row>
    <row r="563" spans="1:5" x14ac:dyDescent="0.25">
      <c r="A563" s="562" t="s">
        <v>1055</v>
      </c>
      <c r="B563" s="562"/>
      <c r="C563" s="562"/>
      <c r="D563" s="562"/>
      <c r="E563" s="566">
        <f>E238+E265+E292+E319+E346+E373+E400+E427+E454+E481+E508+E535</f>
        <v>14653</v>
      </c>
    </row>
    <row r="564" spans="1:5" ht="14.4" x14ac:dyDescent="0.3">
      <c r="A564" s="556" t="s">
        <v>1026</v>
      </c>
      <c r="B564" s="556" t="s">
        <v>1010</v>
      </c>
      <c r="C564" s="556">
        <v>1000</v>
      </c>
      <c r="D564" s="556">
        <v>6300</v>
      </c>
      <c r="E564" s="564">
        <f>SUMIFS('Accounting data'!$G$2:$G$37003,'Accounting data'!$H$2:$H$37003,"11*",'Accounting data'!$J$2:$J$37003,"1*",'Accounting data'!$K$2:$K$37003,"63*")+SUMIFS('Accounting data'!$G$2:$G$37003,'Accounting data'!$H$2:$H$37003,"12*",'Accounting data'!$J$2:$J$37003,"1*",'Accounting data'!$K$2:$K$37003,"63*")+SUMIFS('Accounting data'!$G$2:$G$37003,'Accounting data'!$H$2:$H$37003,"13*",'Accounting data'!$J$2:$J$37003,"1*",'Accounting data'!$K$2:$K$37003,"63*")</f>
        <v>1843</v>
      </c>
    </row>
    <row r="565" spans="1:5" ht="14.4" x14ac:dyDescent="0.3">
      <c r="A565" s="556" t="s">
        <v>1026</v>
      </c>
      <c r="B565" s="556" t="s">
        <v>1010</v>
      </c>
      <c r="C565" s="556">
        <v>2000</v>
      </c>
      <c r="D565" s="556">
        <v>6300</v>
      </c>
      <c r="E565" s="564">
        <f>SUMIFS('Accounting data'!$G$2:$G$37003,'Accounting data'!$H$2:$H$37003,"11*",'Accounting data'!$J$2:$J$37003,"2*",'Accounting data'!$K$2:$K$37003,"63*")+SUMIFS('Accounting data'!$G$2:$G$37003,'Accounting data'!$H$2:$H$37003,"12*",'Accounting data'!$J$2:$J$37003,"2*",'Accounting data'!$K$2:$K$37003,"63*")+SUMIFS('Accounting data'!$G$2:$G$37003,'Accounting data'!$H$2:$H$37003,"13*",'Accounting data'!$J$2:$J$37003,"2*",'Accounting data'!$K$2:$K$37003,"63*")</f>
        <v>1850</v>
      </c>
    </row>
    <row r="566" spans="1:5" ht="14.4" x14ac:dyDescent="0.3">
      <c r="A566" s="556" t="s">
        <v>1026</v>
      </c>
      <c r="B566" s="556" t="s">
        <v>1010</v>
      </c>
      <c r="C566" s="556">
        <v>3000</v>
      </c>
      <c r="D566" s="556">
        <v>6300</v>
      </c>
      <c r="E566" s="564">
        <f>SUMIFS('Accounting data'!$G$2:$G$37003,'Accounting data'!$H$2:$H$37003,"11*",'Accounting data'!$J$2:$J$37003,"3*",'Accounting data'!$K$2:$K$37003,"63*")+SUMIFS('Accounting data'!$G$2:$G$37003,'Accounting data'!$H$2:$H$37003,"12*",'Accounting data'!$J$2:$J$37003,"3*",'Accounting data'!$K$2:$K$37003,"63*")+SUMIFS('Accounting data'!$G$2:$G$37003,'Accounting data'!$H$2:$H$37003,"13*",'Accounting data'!$J$2:$J$37003,"3*",'Accounting data'!$K$2:$K$37003,"63*")</f>
        <v>0</v>
      </c>
    </row>
    <row r="567" spans="1:5" ht="14.4" x14ac:dyDescent="0.3">
      <c r="A567" s="556" t="s">
        <v>1026</v>
      </c>
      <c r="B567" s="558">
        <v>700</v>
      </c>
      <c r="C567" s="556">
        <v>1000</v>
      </c>
      <c r="D567" s="556">
        <v>6300</v>
      </c>
      <c r="E567" s="564">
        <f>SUMIFS('Accounting data'!$G$2:$G$37003,'Accounting data'!$H$2:$H$37003,"11*",'Accounting data'!$I$2:$I$37003,"7*",'Accounting data'!$J$2:$J$37003,"1*",'Accounting data'!$K$2:$K$37003,"63*")+SUMIFS('Accounting data'!$G$2:$G$37003,'Accounting data'!$H$2:$H$37003,"12*",'Accounting data'!$I$2:$I$37003,"7*",'Accounting data'!$J$2:$J$37003,"1*",'Accounting data'!$K$2:$K$37003,"63*")+SUMIFS('Accounting data'!$G$2:$G$37003,'Accounting data'!$H$2:$H$37003,"13*",'Accounting data'!$I$2:$I$37003,"7*",'Accounting data'!$J$2:$J$37003,"1*",'Accounting data'!$K$2:$K$37003,"63*")</f>
        <v>0</v>
      </c>
    </row>
    <row r="568" spans="1:5" ht="14.4" x14ac:dyDescent="0.3">
      <c r="A568" s="556" t="s">
        <v>1026</v>
      </c>
      <c r="B568" s="558">
        <v>800</v>
      </c>
      <c r="C568" s="556">
        <v>1000</v>
      </c>
      <c r="D568" s="556">
        <v>6300</v>
      </c>
      <c r="E568" s="564">
        <f>SUMIFS('Accounting data'!$G$2:$G$37003,'Accounting data'!$H$2:$H$37003,"11*",'Accounting data'!$I$2:$I$37003,"8*",'Accounting data'!$J$2:$J$37003,"1*",'Accounting data'!$K$2:$K$37003,"63*")+SUMIFS('Accounting data'!$G$2:$G$37003,'Accounting data'!$H$2:$H$37003,"12*",'Accounting data'!$I$2:$I$37003,"8*",'Accounting data'!$J$2:$J$37003,"1*",'Accounting data'!$K$2:$K$37003,"63*")+SUMIFS('Accounting data'!$G$2:$G$37003,'Accounting data'!$H$2:$H$37003,"13*",'Accounting data'!$I$2:$I$37003,"8*",'Accounting data'!$J$2:$J$37003,"1*",'Accounting data'!$K$2:$K$37003,"63*")</f>
        <v>0</v>
      </c>
    </row>
    <row r="569" spans="1:5" ht="14.4" x14ac:dyDescent="0.3">
      <c r="A569" s="556" t="s">
        <v>1026</v>
      </c>
      <c r="B569" s="558">
        <v>900</v>
      </c>
      <c r="C569" s="556">
        <v>1000</v>
      </c>
      <c r="D569" s="556">
        <v>6300</v>
      </c>
      <c r="E569" s="564">
        <f>SUMIFS('Accounting data'!$G$2:$G$37003,'Accounting data'!$H$2:$H$37003,"11*",'Accounting data'!$I$2:$I$37003,"9*",'Accounting data'!$J$2:$J$37003,"1*",'Accounting data'!$K$2:$K$37003,"63*")+SUMIFS('Accounting data'!$G$2:$G$37003,'Accounting data'!$H$2:$H$37003,"12*",'Accounting data'!$I$2:$I$37003,"9*",'Accounting data'!$J$2:$J$37003,"1*",'Accounting data'!$K$2:$K$37003,"63*")+SUMIFS('Accounting data'!$G$2:$G$37003,'Accounting data'!$H$2:$H$37003,"13*",'Accounting data'!$I$2:$I$37003,"9*",'Accounting data'!$J$2:$J$37003,"1*",'Accounting data'!$K$2:$K$37003,"63*")</f>
        <v>0</v>
      </c>
    </row>
    <row r="570" spans="1:5" x14ac:dyDescent="0.25">
      <c r="A570" s="556" t="s">
        <v>1026</v>
      </c>
      <c r="B570" s="558">
        <v>700</v>
      </c>
      <c r="C570" s="556">
        <v>2000</v>
      </c>
      <c r="D570" s="556">
        <v>6300</v>
      </c>
      <c r="E570" s="557">
        <f>SUMIFS('Accounting data'!$G$2:$G$37003,'Accounting data'!$H$2:$H$37003,"11*",'Accounting data'!$I$2:$I$37003,"7*",'Accounting data'!$J$2:$J$37003,"2*",'Accounting data'!$K$2:$K$37003,"63*")+SUMIFS('Accounting data'!$G$2:$G$37003,'Accounting data'!$H$2:$H$37003,"12*",'Accounting data'!$I$2:$I$37003,"7*",'Accounting data'!$J$2:$J$37003,"2*",'Accounting data'!$K$2:$K$37003,"63*")+SUMIFS('Accounting data'!$G$2:$G$37003,'Accounting data'!$H$2:$H$37003,"13*",'Accounting data'!$I$2:$I$37003,"7*",'Accounting data'!$J$2:$J$37003,"2*",'Accounting data'!$K$2:$K$37003,"63*")</f>
        <v>0</v>
      </c>
    </row>
    <row r="571" spans="1:5" x14ac:dyDescent="0.25">
      <c r="A571" s="556" t="s">
        <v>1026</v>
      </c>
      <c r="B571" s="558">
        <v>800</v>
      </c>
      <c r="C571" s="556">
        <v>2000</v>
      </c>
      <c r="D571" s="556">
        <v>6300</v>
      </c>
      <c r="E571" s="557">
        <f>SUMIFS('Accounting data'!$G$2:$G$37003,'Accounting data'!$H$2:$H$37003,"11*",'Accounting data'!$I$2:$I$37003,"8*",'Accounting data'!$J$2:$J$37003,"2*",'Accounting data'!$K$2:$K$37003,"63*")+SUMIFS('Accounting data'!$G$2:$G$37003,'Accounting data'!$H$2:$H$37003,"12*",'Accounting data'!$I$2:$I$37003,"8*",'Accounting data'!$J$2:$J$37003,"2*",'Accounting data'!$K$2:$K$37003,"63*")+SUMIFS('Accounting data'!$G$2:$G$37003,'Accounting data'!$H$2:$H$37003,"13*",'Accounting data'!$I$2:$I$37003,"8*",'Accounting data'!$J$2:$J$37003,"2*",'Accounting data'!$K$2:$K$37003,"63*")</f>
        <v>0</v>
      </c>
    </row>
    <row r="572" spans="1:5" x14ac:dyDescent="0.25">
      <c r="A572" s="556" t="s">
        <v>1026</v>
      </c>
      <c r="B572" s="558">
        <v>900</v>
      </c>
      <c r="C572" s="556">
        <v>2000</v>
      </c>
      <c r="D572" s="556">
        <v>6300</v>
      </c>
      <c r="E572" s="557">
        <f>SUMIFS('Accounting data'!$G$2:$G$37003,'Accounting data'!$H$2:$H$37003,"11*",'Accounting data'!$I$2:$I$37003,"9*",'Accounting data'!$J$2:$J$37003,"2*",'Accounting data'!$K$2:$K$37003,"63*")+SUMIFS('Accounting data'!$G$2:$G$37003,'Accounting data'!$H$2:$H$37003,"12*",'Accounting data'!$I$2:$I$37003,"9*",'Accounting data'!$J$2:$J$37003,"2*",'Accounting data'!$K$2:$K$37003,"63*")+SUMIFS('Accounting data'!$G$2:$G$37003,'Accounting data'!$H$2:$H$37003,"13*",'Accounting data'!$I$2:$I$37003,"9*",'Accounting data'!$J$2:$J$37003,"2*",'Accounting data'!$K$2:$K$37003,"63*")</f>
        <v>0</v>
      </c>
    </row>
    <row r="573" spans="1:5" x14ac:dyDescent="0.25">
      <c r="A573" s="556" t="s">
        <v>1026</v>
      </c>
      <c r="B573" s="558">
        <v>700</v>
      </c>
      <c r="C573" s="556">
        <v>3000</v>
      </c>
      <c r="D573" s="556">
        <v>6300</v>
      </c>
      <c r="E573" s="557">
        <f>SUMIFS('Accounting data'!$G$2:$G$37003,'Accounting data'!$H$2:$H$37003,"11*",'Accounting data'!$I$2:$I$37003,"7*",'Accounting data'!$J$2:$J$37003,"3*",'Accounting data'!$K$2:$K$37003,"63*")+SUMIFS('Accounting data'!$G$2:$G$37003,'Accounting data'!$H$2:$H$37003,"12*",'Accounting data'!$I$2:$I$37003,"7*",'Accounting data'!$J$2:$J$37003,"3*",'Accounting data'!$K$2:$K$37003,"63*")+SUMIFS('Accounting data'!$G$2:$G$37003,'Accounting data'!$H$2:$H$37003,"13*",'Accounting data'!$I$2:$I$37003,"7*",'Accounting data'!$J$2:$J$37003,"3*",'Accounting data'!$K$2:$K$37003,"63*")</f>
        <v>0</v>
      </c>
    </row>
    <row r="574" spans="1:5" x14ac:dyDescent="0.25">
      <c r="A574" s="556" t="s">
        <v>1026</v>
      </c>
      <c r="B574" s="558">
        <v>800</v>
      </c>
      <c r="C574" s="556">
        <v>3000</v>
      </c>
      <c r="D574" s="556">
        <v>6300</v>
      </c>
      <c r="E574" s="557">
        <f>SUMIFS('Accounting data'!$G$2:$G$37003,'Accounting data'!$H$2:$H$37003,"11*",'Accounting data'!$I$2:$I$37003,"8*",'Accounting data'!$J$2:$J$37003,"3*",'Accounting data'!$K$2:$K$37003,"63*")+SUMIFS('Accounting data'!$G$2:$G$37003,'Accounting data'!$H$2:$H$37003,"12*",'Accounting data'!$I$2:$I$37003,"8*",'Accounting data'!$J$2:$J$37003,"3*",'Accounting data'!$K$2:$K$37003,"63*")+SUMIFS('Accounting data'!$G$2:$G$37003,'Accounting data'!$H$2:$H$37003,"13*",'Accounting data'!$I$2:$I$37003,"8*",'Accounting data'!$J$2:$J$37003,"3*",'Accounting data'!$K$2:$K$37003,"63*")</f>
        <v>0</v>
      </c>
    </row>
    <row r="575" spans="1:5" x14ac:dyDescent="0.25">
      <c r="A575" s="556" t="s">
        <v>1026</v>
      </c>
      <c r="B575" s="558">
        <v>900</v>
      </c>
      <c r="C575" s="556">
        <v>3000</v>
      </c>
      <c r="D575" s="556">
        <v>6300</v>
      </c>
      <c r="E575" s="557">
        <f>SUMIFS('Accounting data'!$G$2:$G$37003,'Accounting data'!$H$2:$H$37003,"11*",'Accounting data'!$I$2:$I$37003,"9*",'Accounting data'!$J$2:$J$37003,"3*",'Accounting data'!$K$2:$K$37003,"63*")+SUMIFS('Accounting data'!$G$2:$G$37003,'Accounting data'!$H$2:$H$37003,"12*",'Accounting data'!$I$2:$I$37003,"9*",'Accounting data'!$J$2:$J$37003,"3*",'Accounting data'!$K$2:$K$37003,"63*")+SUMIFS('Accounting data'!$G$2:$G$37003,'Accounting data'!$H$2:$H$37003,"13*",'Accounting data'!$I$2:$I$37003,"9*",'Accounting data'!$J$2:$J$37003,"3*",'Accounting data'!$K$2:$K$37003,"63*")</f>
        <v>0</v>
      </c>
    </row>
    <row r="576" spans="1:5" x14ac:dyDescent="0.25">
      <c r="A576" s="559" t="s">
        <v>1056</v>
      </c>
      <c r="B576" s="559"/>
      <c r="C576" s="559"/>
      <c r="D576" s="559"/>
      <c r="E576" s="561">
        <f>(E564+E565+E566)-(E567+E568+E569+E570+E571+E572+E573+E574+E575)</f>
        <v>3693</v>
      </c>
    </row>
    <row r="577" spans="1:5" x14ac:dyDescent="0.25">
      <c r="A577" s="556" t="s">
        <v>1026</v>
      </c>
      <c r="B577" s="556" t="s">
        <v>1010</v>
      </c>
      <c r="C577" s="556">
        <v>1000</v>
      </c>
      <c r="D577" s="556">
        <v>6400</v>
      </c>
      <c r="E577" s="557">
        <f>SUMIFS('Accounting data'!$G$2:$G$37003,'Accounting data'!$H$2:$H$37003,"11*",'Accounting data'!$J$2:$J$37003,"1*",'Accounting data'!$K$2:$K$37003,"64*")+SUMIFS('Accounting data'!$G$2:$G$37003,'Accounting data'!$H$2:$H$37003,"12*",'Accounting data'!$J$2:$J$37003,"1*",'Accounting data'!$K$2:$K$37003,"64*")+SUMIFS('Accounting data'!$G$2:$G$37003,'Accounting data'!$H$2:$H$37003,"13*",'Accounting data'!$J$2:$J$37003,"1*",'Accounting data'!$K$2:$K$37003,"64*")</f>
        <v>0</v>
      </c>
    </row>
    <row r="578" spans="1:5" x14ac:dyDescent="0.25">
      <c r="A578" s="556" t="s">
        <v>1026</v>
      </c>
      <c r="B578" s="556" t="s">
        <v>1010</v>
      </c>
      <c r="C578" s="556">
        <v>2000</v>
      </c>
      <c r="D578" s="556">
        <v>6400</v>
      </c>
      <c r="E578" s="557">
        <f>SUMIFS('Accounting data'!$G$2:$G$37003,'Accounting data'!$H$2:$H$37003,"11*",'Accounting data'!$J$2:$J$37003,"2*",'Accounting data'!$K$2:$K$37003,"64*")+SUMIFS('Accounting data'!$G$2:$G$37003,'Accounting data'!$H$2:$H$37003,"12*",'Accounting data'!$J$2:$J$37003,"2*",'Accounting data'!$K$2:$K$37003,"64*")+SUMIFS('Accounting data'!$G$2:$G$37003,'Accounting data'!$H$2:$H$37003,"13*",'Accounting data'!$J$2:$J$37003,"2*",'Accounting data'!$K$2:$K$37003,"64*")</f>
        <v>0</v>
      </c>
    </row>
    <row r="579" spans="1:5" x14ac:dyDescent="0.25">
      <c r="A579" s="556" t="s">
        <v>1026</v>
      </c>
      <c r="B579" s="556" t="s">
        <v>1010</v>
      </c>
      <c r="C579" s="556">
        <v>3000</v>
      </c>
      <c r="D579" s="556">
        <v>6400</v>
      </c>
      <c r="E579" s="557">
        <f>SUMIFS('Accounting data'!$G$2:$G$37003,'Accounting data'!$H$2:$H$37003,"11*",'Accounting data'!$J$2:$J$37003,"3*",'Accounting data'!$K$2:$K$37003,"64*")+SUMIFS('Accounting data'!$G$2:$G$37003,'Accounting data'!$H$2:$H$37003,"12*",'Accounting data'!$J$2:$J$37003,"3*",'Accounting data'!$K$2:$K$37003,"64*")+SUMIFS('Accounting data'!$G$2:$G$37003,'Accounting data'!$H$2:$H$37003,"13*",'Accounting data'!$J$2:$J$37003,"3*",'Accounting data'!$K$2:$K$37003,"64*")</f>
        <v>0</v>
      </c>
    </row>
    <row r="580" spans="1:5" x14ac:dyDescent="0.25">
      <c r="A580" s="556" t="s">
        <v>1026</v>
      </c>
      <c r="B580" s="558">
        <v>700</v>
      </c>
      <c r="C580" s="556">
        <v>1000</v>
      </c>
      <c r="D580" s="556">
        <v>6400</v>
      </c>
      <c r="E580" s="557">
        <f>SUMIFS('Accounting data'!$G$2:$G$37003,'Accounting data'!$H$2:$H$37003,"11*",'Accounting data'!$I$2:$I$37003,"7*",'Accounting data'!$J$2:$J$37003,"1*",'Accounting data'!$K$2:$K$37003,"64*")+SUMIFS('Accounting data'!$G$2:$G$37003,'Accounting data'!$H$2:$H$37003,"12*",'Accounting data'!$I$2:$I$37003,"7*",'Accounting data'!$J$2:$J$37003,"1*",'Accounting data'!$K$2:$K$37003,"64*")+SUMIFS('Accounting data'!$G$2:$G$37003,'Accounting data'!$H$2:$H$37003,"13*",'Accounting data'!$I$2:$I$37003,"7*",'Accounting data'!$J$2:$J$37003,"1*",'Accounting data'!$K$2:$K$37003,"64*")</f>
        <v>0</v>
      </c>
    </row>
    <row r="581" spans="1:5" x14ac:dyDescent="0.25">
      <c r="A581" s="556" t="s">
        <v>1026</v>
      </c>
      <c r="B581" s="558">
        <v>800</v>
      </c>
      <c r="C581" s="556">
        <v>1000</v>
      </c>
      <c r="D581" s="556">
        <v>6400</v>
      </c>
      <c r="E581" s="557">
        <f>SUMIFS('Accounting data'!$G$2:$G$37003,'Accounting data'!$H$2:$H$37003,"11*",'Accounting data'!$I$2:$I$37003,"8*",'Accounting data'!$J$2:$J$37003,"1*",'Accounting data'!$K$2:$K$37003,"64*")+SUMIFS('Accounting data'!$G$2:$G$37003,'Accounting data'!$H$2:$H$37003,"12*",'Accounting data'!$I$2:$I$37003,"8*",'Accounting data'!$J$2:$J$37003,"1*",'Accounting data'!$K$2:$K$37003,"64*")+SUMIFS('Accounting data'!$G$2:$G$37003,'Accounting data'!$H$2:$H$37003,"13*",'Accounting data'!$I$2:$I$37003,"8*",'Accounting data'!$J$2:$J$37003,"1*",'Accounting data'!$K$2:$K$37003,"64*")</f>
        <v>0</v>
      </c>
    </row>
    <row r="582" spans="1:5" x14ac:dyDescent="0.25">
      <c r="A582" s="556" t="s">
        <v>1026</v>
      </c>
      <c r="B582" s="558">
        <v>900</v>
      </c>
      <c r="C582" s="556">
        <v>1000</v>
      </c>
      <c r="D582" s="556">
        <v>6400</v>
      </c>
      <c r="E582" s="557">
        <f>SUMIFS('Accounting data'!$G$2:$G$37003,'Accounting data'!$H$2:$H$37003,"11*",'Accounting data'!$I$2:$I$37003,"9*",'Accounting data'!$J$2:$J$37003,"1*",'Accounting data'!$K$2:$K$37003,"64*")+SUMIFS('Accounting data'!$G$2:$G$37003,'Accounting data'!$H$2:$H$37003,"12*",'Accounting data'!$I$2:$I$37003,"9*",'Accounting data'!$J$2:$J$37003,"1*",'Accounting data'!$K$2:$K$37003,"64*")+SUMIFS('Accounting data'!$G$2:$G$37003,'Accounting data'!$H$2:$H$37003,"13*",'Accounting data'!$I$2:$I$37003,"9*",'Accounting data'!$J$2:$J$37003,"1*",'Accounting data'!$K$2:$K$37003,"64*")</f>
        <v>0</v>
      </c>
    </row>
    <row r="583" spans="1:5" x14ac:dyDescent="0.25">
      <c r="A583" s="556" t="s">
        <v>1026</v>
      </c>
      <c r="B583" s="558">
        <v>700</v>
      </c>
      <c r="C583" s="556">
        <v>2000</v>
      </c>
      <c r="D583" s="556">
        <v>6400</v>
      </c>
      <c r="E583" s="557">
        <f>SUMIFS('Accounting data'!$G$2:$G$37003,'Accounting data'!$H$2:$H$37003,"11*",'Accounting data'!$I$2:$I$37003,"7*",'Accounting data'!$J$2:$J$37003,"2*",'Accounting data'!$K$2:$K$37003,"64*")+SUMIFS('Accounting data'!$G$2:$G$37003,'Accounting data'!$H$2:$H$37003,"12*",'Accounting data'!$I$2:$I$37003,"7*",'Accounting data'!$J$2:$J$37003,"2*",'Accounting data'!$K$2:$K$37003,"64*")+SUMIFS('Accounting data'!$G$2:$G$37003,'Accounting data'!$H$2:$H$37003,"13*",'Accounting data'!$I$2:$I$37003,"7*",'Accounting data'!$J$2:$J$37003,"2*",'Accounting data'!$K$2:$K$37003,"64*")</f>
        <v>0</v>
      </c>
    </row>
    <row r="584" spans="1:5" x14ac:dyDescent="0.25">
      <c r="A584" s="556" t="s">
        <v>1026</v>
      </c>
      <c r="B584" s="558">
        <v>800</v>
      </c>
      <c r="C584" s="556">
        <v>2000</v>
      </c>
      <c r="D584" s="556">
        <v>6400</v>
      </c>
      <c r="E584" s="557">
        <f>SUMIFS('Accounting data'!$G$2:$G$37003,'Accounting data'!$H$2:$H$37003,"11*",'Accounting data'!$I$2:$I$37003,"8*",'Accounting data'!$J$2:$J$37003,"2*",'Accounting data'!$K$2:$K$37003,"64*")+SUMIFS('Accounting data'!$G$2:$G$37003,'Accounting data'!$H$2:$H$37003,"12*",'Accounting data'!$I$2:$I$37003,"8*",'Accounting data'!$J$2:$J$37003,"2*",'Accounting data'!$K$2:$K$37003,"64*")+SUMIFS('Accounting data'!$G$2:$G$37003,'Accounting data'!$H$2:$H$37003,"13*",'Accounting data'!$I$2:$I$37003,"8*",'Accounting data'!$J$2:$J$37003,"2*",'Accounting data'!$K$2:$K$37003,"64*")</f>
        <v>0</v>
      </c>
    </row>
    <row r="585" spans="1:5" x14ac:dyDescent="0.25">
      <c r="A585" s="556" t="s">
        <v>1026</v>
      </c>
      <c r="B585" s="558">
        <v>900</v>
      </c>
      <c r="C585" s="556">
        <v>2000</v>
      </c>
      <c r="D585" s="556">
        <v>6400</v>
      </c>
      <c r="E585" s="557">
        <f>SUMIFS('Accounting data'!$G$2:$G$37003,'Accounting data'!$H$2:$H$37003,"11*",'Accounting data'!$I$2:$I$37003,"9*",'Accounting data'!$J$2:$J$37003,"2*",'Accounting data'!$K$2:$K$37003,"64*")+SUMIFS('Accounting data'!$G$2:$G$37003,'Accounting data'!$H$2:$H$37003,"12*",'Accounting data'!$I$2:$I$37003,"9*",'Accounting data'!$J$2:$J$37003,"2*",'Accounting data'!$K$2:$K$37003,"64*")+SUMIFS('Accounting data'!$G$2:$G$37003,'Accounting data'!$H$2:$H$37003,"13*",'Accounting data'!$I$2:$I$37003,"9*",'Accounting data'!$J$2:$J$37003,"2*",'Accounting data'!$K$2:$K$37003,"64*")</f>
        <v>0</v>
      </c>
    </row>
    <row r="586" spans="1:5" x14ac:dyDescent="0.25">
      <c r="A586" s="556" t="s">
        <v>1026</v>
      </c>
      <c r="B586" s="558">
        <v>700</v>
      </c>
      <c r="C586" s="556">
        <v>3000</v>
      </c>
      <c r="D586" s="556">
        <v>6400</v>
      </c>
      <c r="E586" s="557">
        <f>SUMIFS('Accounting data'!$G$2:$G$37003,'Accounting data'!$H$2:$H$37003,"11*",'Accounting data'!$I$2:$I$37003,"7*",'Accounting data'!$J$2:$J$37003,"3*",'Accounting data'!$K$2:$K$37003,"64*")+SUMIFS('Accounting data'!$G$2:$G$37003,'Accounting data'!$H$2:$H$37003,"12*",'Accounting data'!$I$2:$I$37003,"7*",'Accounting data'!$J$2:$J$37003,"3*",'Accounting data'!$K$2:$K$37003,"64*")+SUMIFS('Accounting data'!$G$2:$G$37003,'Accounting data'!$H$2:$H$37003,"13*",'Accounting data'!$I$2:$I$37003,"7*",'Accounting data'!$J$2:$J$37003,"3*",'Accounting data'!$K$2:$K$37003,"64*")</f>
        <v>0</v>
      </c>
    </row>
    <row r="587" spans="1:5" x14ac:dyDescent="0.25">
      <c r="A587" s="556" t="s">
        <v>1026</v>
      </c>
      <c r="B587" s="558">
        <v>800</v>
      </c>
      <c r="C587" s="556">
        <v>3000</v>
      </c>
      <c r="D587" s="556">
        <v>6400</v>
      </c>
      <c r="E587" s="557">
        <f>SUMIFS('Accounting data'!$G$2:$G$37003,'Accounting data'!$H$2:$H$37003,"11*",'Accounting data'!$I$2:$I$37003,"8*",'Accounting data'!$J$2:$J$37003,"3*",'Accounting data'!$K$2:$K$37003,"64*")+SUMIFS('Accounting data'!$G$2:$G$37003,'Accounting data'!$H$2:$H$37003,"12*",'Accounting data'!$I$2:$I$37003,"8*",'Accounting data'!$J$2:$J$37003,"3*",'Accounting data'!$K$2:$K$37003,"64*")+SUMIFS('Accounting data'!$G$2:$G$37003,'Accounting data'!$H$2:$H$37003,"13*",'Accounting data'!$I$2:$I$37003,"8*",'Accounting data'!$J$2:$J$37003,"3*",'Accounting data'!$K$2:$K$37003,"64*")</f>
        <v>0</v>
      </c>
    </row>
    <row r="588" spans="1:5" x14ac:dyDescent="0.25">
      <c r="A588" s="556" t="s">
        <v>1026</v>
      </c>
      <c r="B588" s="558">
        <v>900</v>
      </c>
      <c r="C588" s="556">
        <v>3000</v>
      </c>
      <c r="D588" s="556">
        <v>6400</v>
      </c>
      <c r="E588" s="557">
        <f>SUMIFS('Accounting data'!$G$2:$G$37003,'Accounting data'!$H$2:$H$37003,"11*",'Accounting data'!$I$2:$I$37003,"9*",'Accounting data'!$J$2:$J$37003,"3*",'Accounting data'!$K$2:$K$37003,"64*")+SUMIFS('Accounting data'!$G$2:$G$37003,'Accounting data'!$H$2:$H$37003,"12*",'Accounting data'!$I$2:$I$37003,"9*",'Accounting data'!$J$2:$J$37003,"3*",'Accounting data'!$K$2:$K$37003,"64*")+SUMIFS('Accounting data'!$G$2:$G$37003,'Accounting data'!$H$2:$H$37003,"13*",'Accounting data'!$I$2:$I$37003,"9*",'Accounting data'!$J$2:$J$37003,"3*",'Accounting data'!$K$2:$K$37003,"64*")</f>
        <v>0</v>
      </c>
    </row>
    <row r="589" spans="1:5" x14ac:dyDescent="0.25">
      <c r="A589" s="559" t="s">
        <v>1057</v>
      </c>
      <c r="B589" s="559"/>
      <c r="C589" s="559"/>
      <c r="D589" s="559"/>
      <c r="E589" s="561">
        <f>(E577+E578+E579)-(E580+E581+E582+E583+E584+E585+E586+E587+E588)</f>
        <v>0</v>
      </c>
    </row>
    <row r="590" spans="1:5" x14ac:dyDescent="0.25">
      <c r="A590" s="556" t="s">
        <v>1026</v>
      </c>
      <c r="B590" s="556" t="s">
        <v>1010</v>
      </c>
      <c r="C590" s="556">
        <v>1000</v>
      </c>
      <c r="D590" s="556">
        <v>6500</v>
      </c>
      <c r="E590" s="557">
        <f>SUMIFS('Accounting data'!$G$2:$G$37003,'Accounting data'!$H$2:$H$37003,"11*",'Accounting data'!$J$2:$J$37003,"1*",'Accounting data'!$K$2:$K$37003,"65*")+SUMIFS('Accounting data'!$G$2:$G$37003,'Accounting data'!$H$2:$H$37003,"12*",'Accounting data'!$J$2:$J$37003,"1*",'Accounting data'!$K$2:$K$37003,"65*")+SUMIFS('Accounting data'!$G$2:$G$37003,'Accounting data'!$H$2:$H$37003,"13*",'Accounting data'!$J$2:$J$37003,"1*",'Accounting data'!$K$2:$K$37003,"65*")</f>
        <v>0</v>
      </c>
    </row>
    <row r="591" spans="1:5" x14ac:dyDescent="0.25">
      <c r="A591" s="556" t="s">
        <v>1026</v>
      </c>
      <c r="B591" s="556" t="s">
        <v>1010</v>
      </c>
      <c r="C591" s="556">
        <v>2000</v>
      </c>
      <c r="D591" s="556">
        <v>6500</v>
      </c>
      <c r="E591" s="557">
        <f>SUMIFS('Accounting data'!$G$2:$G$37003,'Accounting data'!$H$2:$H$37003,"11*",'Accounting data'!$J$2:$J$37003,"2*",'Accounting data'!$K$2:$K$37003,"65*")+SUMIFS('Accounting data'!$G$2:$G$37003,'Accounting data'!$H$2:$H$37003,"12*",'Accounting data'!$J$2:$J$37003,"2*",'Accounting data'!$K$2:$K$37003,"65*")+SUMIFS('Accounting data'!$G$2:$G$37003,'Accounting data'!$H$2:$H$37003,"13*",'Accounting data'!$J$2:$J$37003,"2*",'Accounting data'!$K$2:$K$37003,"65*")</f>
        <v>0</v>
      </c>
    </row>
    <row r="592" spans="1:5" x14ac:dyDescent="0.25">
      <c r="A592" s="556" t="s">
        <v>1026</v>
      </c>
      <c r="B592" s="556" t="s">
        <v>1010</v>
      </c>
      <c r="C592" s="556">
        <v>3000</v>
      </c>
      <c r="D592" s="556">
        <v>6500</v>
      </c>
      <c r="E592" s="557">
        <f>SUMIFS('Accounting data'!$G$2:$G$37003,'Accounting data'!$H$2:$H$37003,"11*",'Accounting data'!$J$2:$J$37003,"3*",'Accounting data'!$K$2:$K$37003,"65*")+SUMIFS('Accounting data'!$G$2:$G$37003,'Accounting data'!$H$2:$H$37003,"12*",'Accounting data'!$J$2:$J$37003,"3*",'Accounting data'!$K$2:$K$37003,"65*")+SUMIFS('Accounting data'!$G$2:$G$37003,'Accounting data'!$H$2:$H$37003,"13*",'Accounting data'!$J$2:$J$37003,"3*",'Accounting data'!$K$2:$K$37003,"65*")</f>
        <v>0</v>
      </c>
    </row>
    <row r="593" spans="1:5" x14ac:dyDescent="0.25">
      <c r="A593" s="556" t="s">
        <v>1026</v>
      </c>
      <c r="B593" s="558">
        <v>700</v>
      </c>
      <c r="C593" s="556">
        <v>1000</v>
      </c>
      <c r="D593" s="556">
        <v>6500</v>
      </c>
      <c r="E593" s="557">
        <f>SUMIFS('Accounting data'!$G$2:$G$37003,'Accounting data'!$H$2:$H$37003,"11*",'Accounting data'!$I$2:$I$37003,"7*",'Accounting data'!$J$2:$J$37003,"1*",'Accounting data'!$K$2:$K$37003,"65*")+SUMIFS('Accounting data'!$G$2:$G$37003,'Accounting data'!$H$2:$H$37003,"12*",'Accounting data'!$I$2:$I$37003,"7*",'Accounting data'!$J$2:$J$37003,"1*",'Accounting data'!$K$2:$K$37003,"65*")+SUMIFS('Accounting data'!$G$2:$G$37003,'Accounting data'!$H$2:$H$37003,"13*",'Accounting data'!$I$2:$I$37003,"7*",'Accounting data'!$J$2:$J$37003,"1*",'Accounting data'!$K$2:$K$37003,"65*")</f>
        <v>0</v>
      </c>
    </row>
    <row r="594" spans="1:5" x14ac:dyDescent="0.25">
      <c r="A594" s="556" t="s">
        <v>1026</v>
      </c>
      <c r="B594" s="558">
        <v>800</v>
      </c>
      <c r="C594" s="556">
        <v>1000</v>
      </c>
      <c r="D594" s="556">
        <v>6500</v>
      </c>
      <c r="E594" s="557">
        <f>SUMIFS('Accounting data'!$G$2:$G$37003,'Accounting data'!$H$2:$H$37003,"11*",'Accounting data'!$I$2:$I$37003,"8*",'Accounting data'!$J$2:$J$37003,"1*",'Accounting data'!$K$2:$K$37003,"65*")+SUMIFS('Accounting data'!$G$2:$G$37003,'Accounting data'!$H$2:$H$37003,"12*",'Accounting data'!$I$2:$I$37003,"8*",'Accounting data'!$J$2:$J$37003,"1*",'Accounting data'!$K$2:$K$37003,"65*")+SUMIFS('Accounting data'!$G$2:$G$37003,'Accounting data'!$H$2:$H$37003,"13*",'Accounting data'!$I$2:$I$37003,"8*",'Accounting data'!$J$2:$J$37003,"1*",'Accounting data'!$K$2:$K$37003,"65*")</f>
        <v>0</v>
      </c>
    </row>
    <row r="595" spans="1:5" x14ac:dyDescent="0.25">
      <c r="A595" s="556" t="s">
        <v>1026</v>
      </c>
      <c r="B595" s="558">
        <v>900</v>
      </c>
      <c r="C595" s="556">
        <v>1000</v>
      </c>
      <c r="D595" s="556">
        <v>6500</v>
      </c>
      <c r="E595" s="557">
        <f>SUMIFS('Accounting data'!$G$2:$G$37003,'Accounting data'!$H$2:$H$37003,"11*",'Accounting data'!$I$2:$I$37003,"9*",'Accounting data'!$J$2:$J$37003,"1*",'Accounting data'!$K$2:$K$37003,"65*")+SUMIFS('Accounting data'!$G$2:$G$37003,'Accounting data'!$H$2:$H$37003,"12*",'Accounting data'!$I$2:$I$37003,"9*",'Accounting data'!$J$2:$J$37003,"1*",'Accounting data'!$K$2:$K$37003,"65*")+SUMIFS('Accounting data'!$G$2:$G$37003,'Accounting data'!$H$2:$H$37003,"13*",'Accounting data'!$I$2:$I$37003,"9*",'Accounting data'!$J$2:$J$37003,"1*",'Accounting data'!$K$2:$K$37003,"65*")</f>
        <v>0</v>
      </c>
    </row>
    <row r="596" spans="1:5" x14ac:dyDescent="0.25">
      <c r="A596" s="556" t="s">
        <v>1026</v>
      </c>
      <c r="B596" s="558">
        <v>700</v>
      </c>
      <c r="C596" s="556">
        <v>2000</v>
      </c>
      <c r="D596" s="556">
        <v>6500</v>
      </c>
      <c r="E596" s="557">
        <f>SUMIFS('Accounting data'!$G$2:$G$37003,'Accounting data'!$H$2:$H$37003,"11*",'Accounting data'!$I$2:$I$37003,"7*",'Accounting data'!$J$2:$J$37003,"2*",'Accounting data'!$K$2:$K$37003,"65*")+SUMIFS('Accounting data'!$G$2:$G$37003,'Accounting data'!$H$2:$H$37003,"12*",'Accounting data'!$I$2:$I$37003,"7*",'Accounting data'!$J$2:$J$37003,"2*",'Accounting data'!$K$2:$K$37003,"65*")+SUMIFS('Accounting data'!$G$2:$G$37003,'Accounting data'!$H$2:$H$37003,"13*",'Accounting data'!$I$2:$I$37003,"7*",'Accounting data'!$J$2:$J$37003,"2*",'Accounting data'!$K$2:$K$37003,"65*")</f>
        <v>0</v>
      </c>
    </row>
    <row r="597" spans="1:5" x14ac:dyDescent="0.25">
      <c r="A597" s="556" t="s">
        <v>1026</v>
      </c>
      <c r="B597" s="558">
        <v>800</v>
      </c>
      <c r="C597" s="556">
        <v>2000</v>
      </c>
      <c r="D597" s="556">
        <v>6500</v>
      </c>
      <c r="E597" s="557">
        <f>SUMIFS('Accounting data'!$G$2:$G$37003,'Accounting data'!$H$2:$H$37003,"11*",'Accounting data'!$I$2:$I$37003,"8*",'Accounting data'!$J$2:$J$37003,"2*",'Accounting data'!$K$2:$K$37003,"65*")+SUMIFS('Accounting data'!$G$2:$G$37003,'Accounting data'!$H$2:$H$37003,"12*",'Accounting data'!$I$2:$I$37003,"8*",'Accounting data'!$J$2:$J$37003,"2*",'Accounting data'!$K$2:$K$37003,"65*")+SUMIFS('Accounting data'!$G$2:$G$37003,'Accounting data'!$H$2:$H$37003,"13*",'Accounting data'!$I$2:$I$37003,"8*",'Accounting data'!$J$2:$J$37003,"2*",'Accounting data'!$K$2:$K$37003,"65*")</f>
        <v>0</v>
      </c>
    </row>
    <row r="598" spans="1:5" x14ac:dyDescent="0.25">
      <c r="A598" s="556" t="s">
        <v>1026</v>
      </c>
      <c r="B598" s="558">
        <v>900</v>
      </c>
      <c r="C598" s="556">
        <v>2000</v>
      </c>
      <c r="D598" s="556">
        <v>6500</v>
      </c>
      <c r="E598" s="557">
        <f>SUMIFS('Accounting data'!$G$2:$G$37003,'Accounting data'!$H$2:$H$37003,"11*",'Accounting data'!$I$2:$I$37003,"9*",'Accounting data'!$J$2:$J$37003,"2*",'Accounting data'!$K$2:$K$37003,"65*")+SUMIFS('Accounting data'!$G$2:$G$37003,'Accounting data'!$H$2:$H$37003,"12*",'Accounting data'!$I$2:$I$37003,"9*",'Accounting data'!$J$2:$J$37003,"2*",'Accounting data'!$K$2:$K$37003,"65*")+SUMIFS('Accounting data'!$G$2:$G$37003,'Accounting data'!$H$2:$H$37003,"13*",'Accounting data'!$I$2:$I$37003,"9*",'Accounting data'!$J$2:$J$37003,"2*",'Accounting data'!$K$2:$K$37003,"65*")</f>
        <v>0</v>
      </c>
    </row>
    <row r="599" spans="1:5" x14ac:dyDescent="0.25">
      <c r="A599" s="556" t="s">
        <v>1026</v>
      </c>
      <c r="B599" s="558">
        <v>700</v>
      </c>
      <c r="C599" s="556">
        <v>3000</v>
      </c>
      <c r="D599" s="556">
        <v>6500</v>
      </c>
      <c r="E599" s="557">
        <f>SUMIFS('Accounting data'!$G$2:$G$37003,'Accounting data'!$H$2:$H$37003,"11*",'Accounting data'!$I$2:$I$37003,"7*",'Accounting data'!$J$2:$J$37003,"3*",'Accounting data'!$K$2:$K$37003,"65*")+SUMIFS('Accounting data'!$G$2:$G$37003,'Accounting data'!$H$2:$H$37003,"12*",'Accounting data'!$I$2:$I$37003,"7*",'Accounting data'!$J$2:$J$37003,"3*",'Accounting data'!$K$2:$K$37003,"65*")+SUMIFS('Accounting data'!$G$2:$G$37003,'Accounting data'!$H$2:$H$37003,"13*",'Accounting data'!$I$2:$I$37003,"7*",'Accounting data'!$J$2:$J$37003,"3*",'Accounting data'!$K$2:$K$37003,"65*")</f>
        <v>0</v>
      </c>
    </row>
    <row r="600" spans="1:5" x14ac:dyDescent="0.25">
      <c r="A600" s="556" t="s">
        <v>1026</v>
      </c>
      <c r="B600" s="558">
        <v>800</v>
      </c>
      <c r="C600" s="556">
        <v>3000</v>
      </c>
      <c r="D600" s="556">
        <v>6500</v>
      </c>
      <c r="E600" s="557">
        <f>SUMIFS('Accounting data'!$G$2:$G$37003,'Accounting data'!$H$2:$H$37003,"11*",'Accounting data'!$I$2:$I$37003,"8*",'Accounting data'!$J$2:$J$37003,"3*",'Accounting data'!$K$2:$K$37003,"65*")+SUMIFS('Accounting data'!$G$2:$G$37003,'Accounting data'!$H$2:$H$37003,"12*",'Accounting data'!$I$2:$I$37003,"8*",'Accounting data'!$J$2:$J$37003,"3*",'Accounting data'!$K$2:$K$37003,"65*")+SUMIFS('Accounting data'!$G$2:$G$37003,'Accounting data'!$H$2:$H$37003,"13*",'Accounting data'!$I$2:$I$37003,"8*",'Accounting data'!$J$2:$J$37003,"3*",'Accounting data'!$K$2:$K$37003,"65*")</f>
        <v>0</v>
      </c>
    </row>
    <row r="601" spans="1:5" x14ac:dyDescent="0.25">
      <c r="A601" s="556" t="s">
        <v>1026</v>
      </c>
      <c r="B601" s="558">
        <v>900</v>
      </c>
      <c r="C601" s="556">
        <v>3000</v>
      </c>
      <c r="D601" s="556">
        <v>6500</v>
      </c>
      <c r="E601" s="557">
        <f>SUMIFS('Accounting data'!$G$2:$G$37003,'Accounting data'!$H$2:$H$37003,"11*",'Accounting data'!$I$2:$I$37003,"9*",'Accounting data'!$J$2:$J$37003,"3*",'Accounting data'!$K$2:$K$37003,"65*")+SUMIFS('Accounting data'!$G$2:$G$37003,'Accounting data'!$H$2:$H$37003,"12*",'Accounting data'!$I$2:$I$37003,"9*",'Accounting data'!$J$2:$J$37003,"3*",'Accounting data'!$K$2:$K$37003,"65*")+SUMIFS('Accounting data'!$G$2:$G$37003,'Accounting data'!$H$2:$H$37003,"13*",'Accounting data'!$I$2:$I$37003,"9*",'Accounting data'!$J$2:$J$37003,"3*",'Accounting data'!$K$2:$K$37003,"65*")</f>
        <v>0</v>
      </c>
    </row>
    <row r="602" spans="1:5" x14ac:dyDescent="0.25">
      <c r="A602" s="559" t="s">
        <v>1058</v>
      </c>
      <c r="B602" s="559"/>
      <c r="C602" s="559"/>
      <c r="D602" s="559"/>
      <c r="E602" s="561">
        <f>(E590+E591+E592)-(E593+E594+E595+E596+E597+E598+E599+E600+E601)</f>
        <v>0</v>
      </c>
    </row>
    <row r="603" spans="1:5" x14ac:dyDescent="0.25">
      <c r="A603" s="556"/>
      <c r="B603" s="556"/>
      <c r="C603" s="556"/>
      <c r="D603" s="556"/>
      <c r="E603" s="557"/>
    </row>
    <row r="604" spans="1:5" x14ac:dyDescent="0.25">
      <c r="A604" s="556"/>
      <c r="B604" s="556"/>
      <c r="C604" s="556"/>
      <c r="D604" s="556"/>
      <c r="E604" s="557"/>
    </row>
    <row r="605" spans="1:5" x14ac:dyDescent="0.25">
      <c r="A605" s="556"/>
      <c r="B605" s="556"/>
      <c r="C605" s="556"/>
      <c r="D605" s="556"/>
      <c r="E605" s="557"/>
    </row>
    <row r="606" spans="1:5" x14ac:dyDescent="0.25">
      <c r="A606" s="556"/>
      <c r="B606" s="558"/>
      <c r="C606" s="556"/>
      <c r="D606" s="556"/>
      <c r="E606" s="557"/>
    </row>
    <row r="607" spans="1:5" x14ac:dyDescent="0.25">
      <c r="A607" s="556"/>
      <c r="B607" s="558"/>
      <c r="C607" s="556"/>
      <c r="D607" s="556"/>
      <c r="E607" s="557"/>
    </row>
    <row r="608" spans="1:5" x14ac:dyDescent="0.25">
      <c r="A608" s="556"/>
      <c r="B608" s="558"/>
      <c r="C608" s="556"/>
      <c r="D608" s="556"/>
      <c r="E608" s="557"/>
    </row>
    <row r="609" spans="1:5" x14ac:dyDescent="0.25">
      <c r="A609" s="556"/>
      <c r="B609" s="558"/>
      <c r="C609" s="556"/>
      <c r="D609" s="556"/>
      <c r="E609" s="557"/>
    </row>
    <row r="610" spans="1:5" x14ac:dyDescent="0.25">
      <c r="A610" s="556"/>
      <c r="B610" s="558"/>
      <c r="C610" s="556"/>
      <c r="D610" s="556"/>
      <c r="E610" s="557"/>
    </row>
    <row r="611" spans="1:5" x14ac:dyDescent="0.25">
      <c r="A611" s="556"/>
      <c r="B611" s="558"/>
      <c r="C611" s="556"/>
      <c r="D611" s="556"/>
      <c r="E611" s="557"/>
    </row>
    <row r="612" spans="1:5" x14ac:dyDescent="0.25">
      <c r="A612" s="556"/>
      <c r="B612" s="558"/>
      <c r="C612" s="556"/>
      <c r="D612" s="556"/>
      <c r="E612" s="557"/>
    </row>
    <row r="613" spans="1:5" x14ac:dyDescent="0.25">
      <c r="A613" s="556"/>
      <c r="B613" s="558"/>
      <c r="C613" s="556"/>
      <c r="D613" s="556"/>
      <c r="E613" s="557"/>
    </row>
    <row r="614" spans="1:5" x14ac:dyDescent="0.25">
      <c r="A614" s="556"/>
      <c r="B614" s="558"/>
      <c r="C614" s="556"/>
      <c r="D614" s="556"/>
      <c r="E614" s="557"/>
    </row>
    <row r="615" spans="1:5" x14ac:dyDescent="0.25">
      <c r="A615" s="559"/>
      <c r="B615" s="559"/>
      <c r="C615" s="559"/>
      <c r="D615" s="559"/>
      <c r="E615" s="561"/>
    </row>
    <row r="616" spans="1:5" x14ac:dyDescent="0.25">
      <c r="A616" s="556"/>
      <c r="B616" s="556"/>
      <c r="C616" s="556"/>
      <c r="D616" s="556"/>
      <c r="E616" s="557"/>
    </row>
    <row r="617" spans="1:5" x14ac:dyDescent="0.25">
      <c r="A617" s="556"/>
      <c r="B617" s="556"/>
      <c r="C617" s="556"/>
      <c r="D617" s="556"/>
      <c r="E617" s="557"/>
    </row>
    <row r="618" spans="1:5" x14ac:dyDescent="0.25">
      <c r="A618" s="556"/>
      <c r="B618" s="556"/>
      <c r="C618" s="556"/>
      <c r="D618" s="556"/>
      <c r="E618" s="557"/>
    </row>
    <row r="619" spans="1:5" x14ac:dyDescent="0.25">
      <c r="A619" s="556"/>
      <c r="B619" s="558"/>
      <c r="C619" s="556"/>
      <c r="D619" s="556"/>
      <c r="E619" s="557"/>
    </row>
    <row r="620" spans="1:5" x14ac:dyDescent="0.25">
      <c r="A620" s="556"/>
      <c r="B620" s="558"/>
      <c r="C620" s="556"/>
      <c r="D620" s="556"/>
      <c r="E620" s="557"/>
    </row>
    <row r="621" spans="1:5" x14ac:dyDescent="0.25">
      <c r="A621" s="556"/>
      <c r="B621" s="558"/>
      <c r="C621" s="556"/>
      <c r="D621" s="556"/>
      <c r="E621" s="557"/>
    </row>
    <row r="622" spans="1:5" x14ac:dyDescent="0.25">
      <c r="A622" s="556"/>
      <c r="B622" s="558"/>
      <c r="C622" s="556"/>
      <c r="D622" s="556"/>
      <c r="E622" s="557"/>
    </row>
    <row r="623" spans="1:5" x14ac:dyDescent="0.25">
      <c r="A623" s="556"/>
      <c r="B623" s="558"/>
      <c r="C623" s="556"/>
      <c r="D623" s="556"/>
      <c r="E623" s="557"/>
    </row>
    <row r="624" spans="1:5" x14ac:dyDescent="0.25">
      <c r="A624" s="556"/>
      <c r="B624" s="558"/>
      <c r="C624" s="556"/>
      <c r="D624" s="556"/>
      <c r="E624" s="557"/>
    </row>
    <row r="625" spans="1:5" x14ac:dyDescent="0.25">
      <c r="A625" s="556"/>
      <c r="B625" s="558"/>
      <c r="C625" s="556"/>
      <c r="D625" s="556"/>
      <c r="E625" s="557"/>
    </row>
    <row r="626" spans="1:5" x14ac:dyDescent="0.25">
      <c r="A626" s="556"/>
      <c r="B626" s="558"/>
      <c r="C626" s="556"/>
      <c r="D626" s="556"/>
      <c r="E626" s="557"/>
    </row>
    <row r="627" spans="1:5" x14ac:dyDescent="0.25">
      <c r="A627" s="556"/>
      <c r="B627" s="558"/>
      <c r="C627" s="556"/>
      <c r="D627" s="556"/>
      <c r="E627" s="557"/>
    </row>
    <row r="628" spans="1:5" x14ac:dyDescent="0.25">
      <c r="A628" s="559"/>
      <c r="B628" s="559"/>
      <c r="C628" s="559"/>
      <c r="D628" s="559"/>
      <c r="E628" s="561"/>
    </row>
    <row r="629" spans="1:5" x14ac:dyDescent="0.25">
      <c r="A629" s="562" t="s">
        <v>1059</v>
      </c>
      <c r="B629" s="562"/>
      <c r="C629" s="562"/>
      <c r="D629" s="562"/>
      <c r="E629" s="566">
        <f>(E576+E589+E602)-(E615+E628)</f>
        <v>3693</v>
      </c>
    </row>
    <row r="630" spans="1:5" x14ac:dyDescent="0.25">
      <c r="A630" s="556" t="s">
        <v>1010</v>
      </c>
      <c r="B630" s="556" t="s">
        <v>1010</v>
      </c>
      <c r="C630" s="556">
        <v>1000</v>
      </c>
      <c r="D630" s="556">
        <v>6600</v>
      </c>
      <c r="E630" s="557">
        <f>SUMIFS('Accounting data'!$G$2:$G$37003,'Accounting data'!$J$2:$J$37003,"1*",'Accounting data'!$K$2:$K$37003,"66*")</f>
        <v>54</v>
      </c>
    </row>
    <row r="631" spans="1:5" x14ac:dyDescent="0.25">
      <c r="A631" s="556" t="s">
        <v>1011</v>
      </c>
      <c r="B631" s="556" t="s">
        <v>1010</v>
      </c>
      <c r="C631" s="556">
        <v>1000</v>
      </c>
      <c r="D631" s="556">
        <v>6600</v>
      </c>
      <c r="E631" s="557">
        <f>SUMIFS('Accounting data'!$G$2:$G$37003,'Accounting data'!$H$2:$H$37003,"9999*",'Accounting data'!$J$2:$J$37003,"1*",'Accounting data'!$K$2:$K$37003,"66*")</f>
        <v>0</v>
      </c>
    </row>
    <row r="632" spans="1:5" x14ac:dyDescent="0.25">
      <c r="A632" s="556" t="s">
        <v>1010</v>
      </c>
      <c r="B632" s="556" t="s">
        <v>1012</v>
      </c>
      <c r="C632" s="556">
        <v>1000</v>
      </c>
      <c r="D632" s="556">
        <v>6600</v>
      </c>
      <c r="E632" s="557">
        <f>SUMIFS('Accounting data'!$G$2:$G$37003,'Accounting data'!$I$2:$I$37003,"7*",'Accounting data'!$J$2:$J$37003,"1*",'Accounting data'!$K$2:$K$37003,"66*")+SUMIFS('Accounting data'!$G$2:$G$37003,'Accounting data'!$I$2:$I$37003,"8*",'Accounting data'!$J$2:$J$37003,"1*",'Accounting data'!$K$2:$K$37003,"66*")+SUMIFS('Accounting data'!$G$2:$G$37003,'Accounting data'!$I$2:$I$37003,"9*",'Accounting data'!$J$2:$J$37003,"1*",'Accounting data'!$K$2:$K$37003,"66*")</f>
        <v>0</v>
      </c>
    </row>
    <row r="633" spans="1:5" x14ac:dyDescent="0.25">
      <c r="A633" s="558" t="s">
        <v>1011</v>
      </c>
      <c r="B633" s="556" t="s">
        <v>1012</v>
      </c>
      <c r="C633" s="556">
        <v>1000</v>
      </c>
      <c r="D633" s="556">
        <v>6600</v>
      </c>
      <c r="E633" s="557">
        <f>SUMIFS('Accounting data'!$G$2:$G$37003,'Accounting data'!$H$2:$H$37003,"9999*",'Accounting data'!$I$2:$I$37003,"7*",'Accounting data'!$J$2:$J$37003,"1*",'Accounting data'!$K$2:$K$37003,"66*")+SUMIFS('Accounting data'!$G$2:$G$37003,'Accounting data'!$H$2:$H$37003,"9999*",'Accounting data'!$I$2:$I$37003,"8*",'Accounting data'!$J$2:$J$37003,"1*",'Accounting data'!$K$2:$K$37003,"66*")+SUMIFS('Accounting data'!$G$2:$G$37003,'Accounting data'!$H$2:$H$37003,"9999*",'Accounting data'!$I$2:$I$37003,"9*",'Accounting data'!$J$2:$J$37003,"1*",'Accounting data'!$K$2:$K$37003,"66*")</f>
        <v>0</v>
      </c>
    </row>
    <row r="634" spans="1:5" x14ac:dyDescent="0.25">
      <c r="A634" s="556"/>
      <c r="B634" s="556"/>
      <c r="C634" s="556"/>
      <c r="D634" s="556"/>
      <c r="E634" s="557"/>
    </row>
    <row r="635" spans="1:5" x14ac:dyDescent="0.25">
      <c r="A635" s="556"/>
      <c r="B635" s="556"/>
      <c r="C635" s="556"/>
      <c r="D635" s="556"/>
      <c r="E635" s="557"/>
    </row>
    <row r="636" spans="1:5" x14ac:dyDescent="0.25">
      <c r="A636" s="559" t="s">
        <v>1060</v>
      </c>
      <c r="B636" s="559"/>
      <c r="C636" s="559"/>
      <c r="D636" s="559"/>
      <c r="E636" s="561">
        <f>(E630-E631-E632)+(E633+E634+E635)</f>
        <v>54</v>
      </c>
    </row>
    <row r="637" spans="1:5" x14ac:dyDescent="0.25">
      <c r="A637" s="556" t="s">
        <v>1010</v>
      </c>
      <c r="B637" s="556" t="s">
        <v>1010</v>
      </c>
      <c r="C637" s="556">
        <v>2100</v>
      </c>
      <c r="D637" s="556">
        <v>6600</v>
      </c>
      <c r="E637" s="557">
        <f>SUMIFS('Accounting data'!$G$2:$G$37003,'Accounting data'!$J$2:$J$37003,"21*",'Accounting data'!$K$2:$K$37003,"66*")</f>
        <v>0</v>
      </c>
    </row>
    <row r="638" spans="1:5" x14ac:dyDescent="0.25">
      <c r="A638" s="556" t="s">
        <v>1011</v>
      </c>
      <c r="B638" s="556" t="s">
        <v>1010</v>
      </c>
      <c r="C638" s="556">
        <v>2100</v>
      </c>
      <c r="D638" s="556">
        <v>6600</v>
      </c>
      <c r="E638" s="557">
        <f>SUMIFS('Accounting data'!$G$2:$G$37003,'Accounting data'!$H$2:$H$37003,"9999*",'Accounting data'!$J$2:$J$37003,"21*",'Accounting data'!$K$2:$K$37003,"66*")</f>
        <v>0</v>
      </c>
    </row>
    <row r="639" spans="1:5" x14ac:dyDescent="0.25">
      <c r="A639" s="556" t="s">
        <v>1010</v>
      </c>
      <c r="B639" s="556" t="s">
        <v>1012</v>
      </c>
      <c r="C639" s="556">
        <v>2100</v>
      </c>
      <c r="D639" s="556">
        <v>6600</v>
      </c>
      <c r="E639" s="557">
        <f>SUMIFS('Accounting data'!$G$2:$G$37003,'Accounting data'!$I$2:$I$37003,"7*",'Accounting data'!$J$2:$J$37003,"21*",'Accounting data'!$K$2:$K$37003,"66*")+SUMIFS('Accounting data'!$G$2:$G$37003,'Accounting data'!$I$2:$I$37003,"8*",'Accounting data'!$J$2:$J$37003,"21*",'Accounting data'!$K$2:$K$37003,"66*")+SUMIFS('Accounting data'!$G$2:$G$37003,'Accounting data'!$I$2:$I$37003,"9*",'Accounting data'!$J$2:$J$37003,"21*",'Accounting data'!$K$2:$K$37003,"66*")</f>
        <v>0</v>
      </c>
    </row>
    <row r="640" spans="1:5" x14ac:dyDescent="0.25">
      <c r="A640" s="558" t="s">
        <v>1011</v>
      </c>
      <c r="B640" s="556" t="s">
        <v>1012</v>
      </c>
      <c r="C640" s="556">
        <v>2100</v>
      </c>
      <c r="D640" s="556">
        <v>6600</v>
      </c>
      <c r="E640" s="557">
        <f>SUMIFS('Accounting data'!$G$2:$G$37003,'Accounting data'!$H$2:$H$37003,"9999*",'Accounting data'!$I$2:$I$37003,"7*",'Accounting data'!$J$2:$J$37003,"21*",'Accounting data'!$K$2:$K$37003,"66*")+SUMIFS('Accounting data'!$G$2:$G$37003,'Accounting data'!$H$2:$H$37003,"9999*",'Accounting data'!$I$2:$I$37003,"8*",'Accounting data'!$J$2:$J$37003,"21*",'Accounting data'!$K$2:$K$37003,"66*")+SUMIFS('Accounting data'!$G$2:$G$37003,'Accounting data'!$H$2:$H$37003,"9999*",'Accounting data'!$I$2:$I$37003,"9*",'Accounting data'!$J$2:$J$37003,"21*",'Accounting data'!$K$2:$K$37003,"66*")</f>
        <v>0</v>
      </c>
    </row>
    <row r="641" spans="1:5" x14ac:dyDescent="0.25">
      <c r="A641" s="556"/>
      <c r="B641" s="556"/>
      <c r="C641" s="556"/>
      <c r="D641" s="556"/>
      <c r="E641" s="557"/>
    </row>
    <row r="642" spans="1:5" x14ac:dyDescent="0.25">
      <c r="A642" s="556"/>
      <c r="B642" s="556"/>
      <c r="C642" s="556"/>
      <c r="D642" s="556"/>
      <c r="E642" s="557"/>
    </row>
    <row r="643" spans="1:5" x14ac:dyDescent="0.25">
      <c r="A643" s="559" t="s">
        <v>1061</v>
      </c>
      <c r="B643" s="559"/>
      <c r="C643" s="559"/>
      <c r="D643" s="559"/>
      <c r="E643" s="561">
        <f>(E637-E638-E639)+(E640+E641+E642)</f>
        <v>0</v>
      </c>
    </row>
    <row r="644" spans="1:5" x14ac:dyDescent="0.25">
      <c r="A644" s="556" t="s">
        <v>1010</v>
      </c>
      <c r="B644" s="556" t="s">
        <v>1010</v>
      </c>
      <c r="C644" s="556">
        <v>2200</v>
      </c>
      <c r="D644" s="556">
        <v>6600</v>
      </c>
      <c r="E644" s="557">
        <f>SUMIFS('Accounting data'!$G$2:$G$37003,'Accounting data'!$J$2:$J$37003,"22*",'Accounting data'!$K$2:$K$37003,"66*")</f>
        <v>0</v>
      </c>
    </row>
    <row r="645" spans="1:5" x14ac:dyDescent="0.25">
      <c r="A645" s="556" t="s">
        <v>1011</v>
      </c>
      <c r="B645" s="556" t="s">
        <v>1010</v>
      </c>
      <c r="C645" s="556">
        <v>2200</v>
      </c>
      <c r="D645" s="556">
        <v>6600</v>
      </c>
      <c r="E645" s="557">
        <f>SUMIFS('Accounting data'!$G$2:$G$37003,'Accounting data'!$H$2:$H$37003,"9999*",'Accounting data'!$J$2:$J$37003,"22*",'Accounting data'!$K$2:$K$37003,"66*")</f>
        <v>0</v>
      </c>
    </row>
    <row r="646" spans="1:5" x14ac:dyDescent="0.25">
      <c r="A646" s="556" t="s">
        <v>1010</v>
      </c>
      <c r="B646" s="556" t="s">
        <v>1012</v>
      </c>
      <c r="C646" s="556">
        <v>2200</v>
      </c>
      <c r="D646" s="556">
        <v>6600</v>
      </c>
      <c r="E646" s="557">
        <f>SUMIFS('Accounting data'!$G$2:$G$37003,'Accounting data'!$I$2:$I$37003,"7*",'Accounting data'!$J$2:$J$37003,"22*",'Accounting data'!$K$2:$K$37003,"66*")+SUMIFS('Accounting data'!$G$2:$G$37003,'Accounting data'!$I$2:$I$37003,"8*",'Accounting data'!$J$2:$J$37003,"22*",'Accounting data'!$K$2:$K$37003,"66*")+SUMIFS('Accounting data'!$G$2:$G$37003,'Accounting data'!$I$2:$I$37003,"9*",'Accounting data'!$J$2:$J$37003,"22*",'Accounting data'!$K$2:$K$37003,"66*")</f>
        <v>0</v>
      </c>
    </row>
    <row r="647" spans="1:5" x14ac:dyDescent="0.25">
      <c r="A647" s="558" t="s">
        <v>1011</v>
      </c>
      <c r="B647" s="556" t="s">
        <v>1012</v>
      </c>
      <c r="C647" s="556">
        <v>2200</v>
      </c>
      <c r="D647" s="556">
        <v>6600</v>
      </c>
      <c r="E647" s="557">
        <f>SUMIFS('Accounting data'!$G$2:$G$37003,'Accounting data'!$H$2:$H$37003,"9999*",'Accounting data'!$I$2:$I$37003,"7*",'Accounting data'!$J$2:$J$37003,"22*",'Accounting data'!$K$2:$K$37003,"66*")+SUMIFS('Accounting data'!$G$2:$G$37003,'Accounting data'!$H$2:$H$37003,"9999*",'Accounting data'!$I$2:$I$37003,"8*",'Accounting data'!$J$2:$J$37003,"22*",'Accounting data'!$K$2:$K$37003,"66*")+SUMIFS('Accounting data'!$G$2:$G$37003,'Accounting data'!$H$2:$H$37003,"9999*",'Accounting data'!$I$2:$I$37003,"9*",'Accounting data'!$J$2:$J$37003,"22*",'Accounting data'!$K$2:$K$37003,"66*")</f>
        <v>0</v>
      </c>
    </row>
    <row r="648" spans="1:5" x14ac:dyDescent="0.25">
      <c r="A648" s="556"/>
      <c r="B648" s="556"/>
      <c r="C648" s="556"/>
      <c r="D648" s="556"/>
      <c r="E648" s="557"/>
    </row>
    <row r="649" spans="1:5" x14ac:dyDescent="0.25">
      <c r="A649" s="556"/>
      <c r="B649" s="556"/>
      <c r="C649" s="556"/>
      <c r="D649" s="556"/>
      <c r="E649" s="557"/>
    </row>
    <row r="650" spans="1:5" x14ac:dyDescent="0.25">
      <c r="A650" s="559" t="s">
        <v>1062</v>
      </c>
      <c r="B650" s="559"/>
      <c r="C650" s="559"/>
      <c r="D650" s="559"/>
      <c r="E650" s="561">
        <f>(E644-E645-E646)+(E647+E648+E649)</f>
        <v>0</v>
      </c>
    </row>
    <row r="651" spans="1:5" x14ac:dyDescent="0.25">
      <c r="A651" s="556" t="s">
        <v>1010</v>
      </c>
      <c r="B651" s="556" t="s">
        <v>1010</v>
      </c>
      <c r="C651" s="556">
        <v>2300</v>
      </c>
      <c r="D651" s="556">
        <v>6600</v>
      </c>
      <c r="E651" s="557">
        <f>SUMIFS('Accounting data'!$G$2:$G$37003,'Accounting data'!$J$2:$J$37003,"23*",'Accounting data'!$K$2:$K$37003,"66*")</f>
        <v>0</v>
      </c>
    </row>
    <row r="652" spans="1:5" x14ac:dyDescent="0.25">
      <c r="A652" s="556" t="s">
        <v>1011</v>
      </c>
      <c r="B652" s="556" t="s">
        <v>1010</v>
      </c>
      <c r="C652" s="556">
        <v>2300</v>
      </c>
      <c r="D652" s="556">
        <v>6600</v>
      </c>
      <c r="E652" s="557">
        <f>SUMIFS('Accounting data'!$G$2:$G$37003,'Accounting data'!$H$2:$H$37003,"9999*",'Accounting data'!$J$2:$J$37003,"23*",'Accounting data'!$K$2:$K$37003,"66*")</f>
        <v>0</v>
      </c>
    </row>
    <row r="653" spans="1:5" x14ac:dyDescent="0.25">
      <c r="A653" s="556" t="s">
        <v>1010</v>
      </c>
      <c r="B653" s="556" t="s">
        <v>1012</v>
      </c>
      <c r="C653" s="556">
        <v>2300</v>
      </c>
      <c r="D653" s="556">
        <v>6600</v>
      </c>
      <c r="E653" s="557">
        <f>SUMIFS('Accounting data'!$G$2:$G$37003,'Accounting data'!$I$2:$I$37003,"7*",'Accounting data'!$J$2:$J$37003,"23*",'Accounting data'!$K$2:$K$37003,"66*")+SUMIFS('Accounting data'!$G$2:$G$37003,'Accounting data'!$I$2:$I$37003,"8*",'Accounting data'!$J$2:$J$37003,"23*",'Accounting data'!$K$2:$K$37003,"66*")+SUMIFS('Accounting data'!$G$2:$G$37003,'Accounting data'!$I$2:$I$37003,"9*",'Accounting data'!$J$2:$J$37003,"23*",'Accounting data'!$K$2:$K$37003,"66*")</f>
        <v>0</v>
      </c>
    </row>
    <row r="654" spans="1:5" x14ac:dyDescent="0.25">
      <c r="A654" s="558" t="s">
        <v>1011</v>
      </c>
      <c r="B654" s="556" t="s">
        <v>1012</v>
      </c>
      <c r="C654" s="556">
        <v>2300</v>
      </c>
      <c r="D654" s="556">
        <v>6600</v>
      </c>
      <c r="E654" s="557">
        <f>SUMIFS('Accounting data'!$G$2:$G$37003,'Accounting data'!$H$2:$H$37003,"9999*",'Accounting data'!$I$2:$I$37003,"7*",'Accounting data'!$J$2:$J$37003,"23*",'Accounting data'!$K$2:$K$37003,"66*")+SUMIFS('Accounting data'!$G$2:$G$37003,'Accounting data'!$H$2:$H$37003,"9999*",'Accounting data'!$I$2:$I$37003,"8*",'Accounting data'!$J$2:$J$37003,"23*",'Accounting data'!$K$2:$K$37003,"66*")+SUMIFS('Accounting data'!$G$2:$G$37003,'Accounting data'!$H$2:$H$37003,"9999*",'Accounting data'!$I$2:$I$37003,"9*",'Accounting data'!$J$2:$J$37003,"23*",'Accounting data'!$K$2:$K$37003,"66*")</f>
        <v>0</v>
      </c>
    </row>
    <row r="655" spans="1:5" x14ac:dyDescent="0.25">
      <c r="A655" s="556"/>
      <c r="B655" s="556"/>
      <c r="C655" s="556"/>
      <c r="D655" s="556"/>
      <c r="E655" s="557"/>
    </row>
    <row r="656" spans="1:5" x14ac:dyDescent="0.25">
      <c r="A656" s="556"/>
      <c r="B656" s="556"/>
      <c r="C656" s="556"/>
      <c r="D656" s="556"/>
      <c r="E656" s="557"/>
    </row>
    <row r="657" spans="1:5" x14ac:dyDescent="0.25">
      <c r="A657" s="559" t="s">
        <v>1063</v>
      </c>
      <c r="B657" s="559"/>
      <c r="C657" s="559"/>
      <c r="D657" s="559"/>
      <c r="E657" s="561">
        <f>(E651-E652-E653)+(E654+E655+E656)</f>
        <v>0</v>
      </c>
    </row>
    <row r="658" spans="1:5" x14ac:dyDescent="0.25">
      <c r="A658" s="556" t="s">
        <v>1010</v>
      </c>
      <c r="B658" s="556" t="s">
        <v>1010</v>
      </c>
      <c r="C658" s="556">
        <v>2400</v>
      </c>
      <c r="D658" s="556">
        <v>6600</v>
      </c>
      <c r="E658" s="557">
        <f>SUMIFS('Accounting data'!$G$2:$G$37003,'Accounting data'!$J$2:$J$37003,"24*",'Accounting data'!$K$2:$K$37003,"66*")</f>
        <v>51</v>
      </c>
    </row>
    <row r="659" spans="1:5" x14ac:dyDescent="0.25">
      <c r="A659" s="556" t="s">
        <v>1011</v>
      </c>
      <c r="B659" s="556" t="s">
        <v>1010</v>
      </c>
      <c r="C659" s="556">
        <v>2400</v>
      </c>
      <c r="D659" s="556">
        <v>6600</v>
      </c>
      <c r="E659" s="557">
        <f>SUMIFS('Accounting data'!$G$2:$G$37003,'Accounting data'!$H$2:$H$37003,"9999*",'Accounting data'!$J$2:$J$37003,"24*",'Accounting data'!$K$2:$K$37003,"66*")</f>
        <v>0</v>
      </c>
    </row>
    <row r="660" spans="1:5" x14ac:dyDescent="0.25">
      <c r="A660" s="556" t="s">
        <v>1010</v>
      </c>
      <c r="B660" s="556" t="s">
        <v>1012</v>
      </c>
      <c r="C660" s="556">
        <v>2400</v>
      </c>
      <c r="D660" s="556">
        <v>6600</v>
      </c>
      <c r="E660" s="557">
        <f>SUMIFS('Accounting data'!$G$2:$G$37003,'Accounting data'!$I$2:$I$37003,"7*",'Accounting data'!$J$2:$J$37003,"24*",'Accounting data'!$K$2:$K$37003,"66*")+SUMIFS('Accounting data'!$G$2:$G$37003,'Accounting data'!$I$2:$I$37003,"8*",'Accounting data'!$J$2:$J$37003,"24*",'Accounting data'!$K$2:$K$37003,"66*")+SUMIFS('Accounting data'!$G$2:$G$37003,'Accounting data'!$I$2:$I$37003,"9*",'Accounting data'!$J$2:$J$37003,"24*",'Accounting data'!$K$2:$K$37003,"66*")</f>
        <v>0</v>
      </c>
    </row>
    <row r="661" spans="1:5" x14ac:dyDescent="0.25">
      <c r="A661" s="558" t="s">
        <v>1011</v>
      </c>
      <c r="B661" s="556" t="s">
        <v>1012</v>
      </c>
      <c r="C661" s="556">
        <v>2400</v>
      </c>
      <c r="D661" s="556">
        <v>6600</v>
      </c>
      <c r="E661" s="557">
        <f>SUMIFS('Accounting data'!$G$2:$G$37003,'Accounting data'!$H$2:$H$37003,"9999*",'Accounting data'!$I$2:$I$37003,"7*",'Accounting data'!$J$2:$J$37003,"24*",'Accounting data'!$K$2:$K$37003,"66*")+SUMIFS('Accounting data'!$G$2:$G$37003,'Accounting data'!$H$2:$H$37003,"9999*",'Accounting data'!$I$2:$I$37003,"8*",'Accounting data'!$J$2:$J$37003,"24*",'Accounting data'!$K$2:$K$37003,"66*")+SUMIFS('Accounting data'!$G$2:$G$37003,'Accounting data'!$H$2:$H$37003,"9999*",'Accounting data'!$I$2:$I$37003,"9*",'Accounting data'!$J$2:$J$37003,"24*",'Accounting data'!$K$2:$K$37003,"66*")</f>
        <v>0</v>
      </c>
    </row>
    <row r="662" spans="1:5" x14ac:dyDescent="0.25">
      <c r="A662" s="556"/>
      <c r="B662" s="556"/>
      <c r="C662" s="556"/>
      <c r="D662" s="556"/>
      <c r="E662" s="557"/>
    </row>
    <row r="663" spans="1:5" x14ac:dyDescent="0.25">
      <c r="A663" s="556"/>
      <c r="B663" s="556"/>
      <c r="C663" s="556"/>
      <c r="D663" s="556"/>
      <c r="E663" s="557"/>
    </row>
    <row r="664" spans="1:5" x14ac:dyDescent="0.25">
      <c r="A664" s="559" t="s">
        <v>1064</v>
      </c>
      <c r="B664" s="559"/>
      <c r="C664" s="559"/>
      <c r="D664" s="559"/>
      <c r="E664" s="561">
        <f>(E658-E659-E660)+(E661+E662+E663)</f>
        <v>51</v>
      </c>
    </row>
    <row r="665" spans="1:5" x14ac:dyDescent="0.25">
      <c r="A665" s="556" t="s">
        <v>1010</v>
      </c>
      <c r="B665" s="556" t="s">
        <v>1010</v>
      </c>
      <c r="C665" s="556">
        <v>2500</v>
      </c>
      <c r="D665" s="556">
        <v>6600</v>
      </c>
      <c r="E665" s="557">
        <f>SUMIFS('Accounting data'!$G$2:$G$37003,'Accounting data'!$J$2:$J$37003,"25*",'Accounting data'!$K$2:$K$37003,"66*")</f>
        <v>0</v>
      </c>
    </row>
    <row r="666" spans="1:5" x14ac:dyDescent="0.25">
      <c r="A666" s="556" t="s">
        <v>1011</v>
      </c>
      <c r="B666" s="556" t="s">
        <v>1010</v>
      </c>
      <c r="C666" s="556">
        <v>2500</v>
      </c>
      <c r="D666" s="556">
        <v>6600</v>
      </c>
      <c r="E666" s="557">
        <f>SUMIFS('Accounting data'!$G$2:$G$37003,'Accounting data'!$H$2:$H$37003,"9999*",'Accounting data'!$J$2:$J$37003,"25*",'Accounting data'!$K$2:$K$37003,"66*")</f>
        <v>0</v>
      </c>
    </row>
    <row r="667" spans="1:5" x14ac:dyDescent="0.25">
      <c r="A667" s="556" t="s">
        <v>1010</v>
      </c>
      <c r="B667" s="556" t="s">
        <v>1012</v>
      </c>
      <c r="C667" s="556">
        <v>2500</v>
      </c>
      <c r="D667" s="556">
        <v>6600</v>
      </c>
      <c r="E667" s="557">
        <f>SUMIFS('Accounting data'!$G$2:$G$37003,'Accounting data'!$I$2:$I$37003,"7*",'Accounting data'!$J$2:$J$37003,"25*",'Accounting data'!$K$2:$K$37003,"66*")+SUMIFS('Accounting data'!$G$2:$G$37003,'Accounting data'!$I$2:$I$37003,"8*",'Accounting data'!$J$2:$J$37003,"25*",'Accounting data'!$K$2:$K$37003,"66*")+SUMIFS('Accounting data'!$G$2:$G$37003,'Accounting data'!$I$2:$I$37003,"9*",'Accounting data'!$J$2:$J$37003,"25*",'Accounting data'!$K$2:$K$37003,"66*")</f>
        <v>0</v>
      </c>
    </row>
    <row r="668" spans="1:5" x14ac:dyDescent="0.25">
      <c r="A668" s="558" t="s">
        <v>1011</v>
      </c>
      <c r="B668" s="556" t="s">
        <v>1012</v>
      </c>
      <c r="C668" s="556">
        <v>2500</v>
      </c>
      <c r="D668" s="556">
        <v>6600</v>
      </c>
      <c r="E668" s="557">
        <f>SUMIFS('Accounting data'!$G$2:$G$37003,'Accounting data'!$H$2:$H$37003,"9999*",'Accounting data'!$I$2:$I$37003,"7*",'Accounting data'!$J$2:$J$37003,"25*",'Accounting data'!$K$2:$K$37003,"66*")+SUMIFS('Accounting data'!$G$2:$G$37003,'Accounting data'!$H$2:$H$37003,"9999*",'Accounting data'!$I$2:$I$37003,"8*",'Accounting data'!$J$2:$J$37003,"25*",'Accounting data'!$K$2:$K$37003,"66*")+SUMIFS('Accounting data'!$G$2:$G$37003,'Accounting data'!$H$2:$H$37003,"9999*",'Accounting data'!$I$2:$I$37003,"9*",'Accounting data'!$J$2:$J$37003,"25*",'Accounting data'!$K$2:$K$37003,"66*")</f>
        <v>0</v>
      </c>
    </row>
    <row r="669" spans="1:5" x14ac:dyDescent="0.25">
      <c r="A669" s="556"/>
      <c r="B669" s="556"/>
      <c r="C669" s="556"/>
      <c r="D669" s="556"/>
      <c r="E669" s="557"/>
    </row>
    <row r="670" spans="1:5" x14ac:dyDescent="0.25">
      <c r="A670" s="556"/>
      <c r="B670" s="556"/>
      <c r="C670" s="556"/>
      <c r="D670" s="556"/>
      <c r="E670" s="557"/>
    </row>
    <row r="671" spans="1:5" x14ac:dyDescent="0.25">
      <c r="A671" s="559" t="s">
        <v>1065</v>
      </c>
      <c r="B671" s="559"/>
      <c r="C671" s="559"/>
      <c r="D671" s="559"/>
      <c r="E671" s="561">
        <f>(E665-E666-E667)+(E668+E669+E670)</f>
        <v>0</v>
      </c>
    </row>
    <row r="672" spans="1:5" x14ac:dyDescent="0.25">
      <c r="A672" s="556" t="s">
        <v>1010</v>
      </c>
      <c r="B672" s="556" t="s">
        <v>1010</v>
      </c>
      <c r="C672" s="556">
        <v>2900</v>
      </c>
      <c r="D672" s="556">
        <v>6600</v>
      </c>
      <c r="E672" s="557">
        <f>SUMIFS('Accounting data'!$G$2:$G$37003,'Accounting data'!$J$2:$J$37003,"29*",'Accounting data'!$K$2:$K$37003,"66*")</f>
        <v>0</v>
      </c>
    </row>
    <row r="673" spans="1:5" x14ac:dyDescent="0.25">
      <c r="A673" s="556" t="s">
        <v>1011</v>
      </c>
      <c r="B673" s="556" t="s">
        <v>1010</v>
      </c>
      <c r="C673" s="556">
        <v>2900</v>
      </c>
      <c r="D673" s="556">
        <v>6600</v>
      </c>
      <c r="E673" s="557">
        <f>SUMIFS('Accounting data'!$G$2:$G$37003,'Accounting data'!$H$2:$H$37003,"9999*",'Accounting data'!$J$2:$J$37003,"29*",'Accounting data'!$K$2:$K$37003,"66*")</f>
        <v>0</v>
      </c>
    </row>
    <row r="674" spans="1:5" x14ac:dyDescent="0.25">
      <c r="A674" s="556" t="s">
        <v>1010</v>
      </c>
      <c r="B674" s="556" t="s">
        <v>1012</v>
      </c>
      <c r="C674" s="556">
        <v>2900</v>
      </c>
      <c r="D674" s="556">
        <v>6600</v>
      </c>
      <c r="E674" s="557">
        <f>SUMIFS('Accounting data'!$G$2:$G$37003,'Accounting data'!$I$2:$I$37003,"7*",'Accounting data'!$J$2:$J$37003,"29*",'Accounting data'!$K$2:$K$37003,"66*")+SUMIFS('Accounting data'!$G$2:$G$37003,'Accounting data'!$I$2:$I$37003,"8*",'Accounting data'!$J$2:$J$37003,"29*",'Accounting data'!$K$2:$K$37003,"66*")+SUMIFS('Accounting data'!$G$2:$G$37003,'Accounting data'!$I$2:$I$37003,"9*",'Accounting data'!$J$2:$J$37003,"29*",'Accounting data'!$K$2:$K$37003,"66*")</f>
        <v>0</v>
      </c>
    </row>
    <row r="675" spans="1:5" x14ac:dyDescent="0.25">
      <c r="A675" s="558" t="s">
        <v>1011</v>
      </c>
      <c r="B675" s="556" t="s">
        <v>1012</v>
      </c>
      <c r="C675" s="556">
        <v>2900</v>
      </c>
      <c r="D675" s="556">
        <v>6600</v>
      </c>
      <c r="E675" s="557">
        <f>SUMIFS('Accounting data'!$G$2:$G$37003,'Accounting data'!$H$2:$H$37003,"9999*",'Accounting data'!$I$2:$I$37003,"7*",'Accounting data'!$J$2:$J$37003,"29*",'Accounting data'!$K$2:$K$37003,"66*")+SUMIFS('Accounting data'!$G$2:$G$37003,'Accounting data'!$H$2:$H$37003,"9999*",'Accounting data'!$I$2:$I$37003,"8*",'Accounting data'!$J$2:$J$37003,"29*",'Accounting data'!$K$2:$K$37003,"66*")+SUMIFS('Accounting data'!$G$2:$G$37003,'Accounting data'!$H$2:$H$37003,"9999*",'Accounting data'!$I$2:$I$37003,"9*",'Accounting data'!$J$2:$J$37003,"29*",'Accounting data'!$K$2:$K$37003,"66*")</f>
        <v>0</v>
      </c>
    </row>
    <row r="676" spans="1:5" x14ac:dyDescent="0.25">
      <c r="A676" s="556"/>
      <c r="B676" s="556"/>
      <c r="C676" s="556"/>
      <c r="D676" s="556"/>
      <c r="E676" s="557"/>
    </row>
    <row r="677" spans="1:5" x14ac:dyDescent="0.25">
      <c r="A677" s="556"/>
      <c r="B677" s="556"/>
      <c r="C677" s="556"/>
      <c r="D677" s="556"/>
      <c r="E677" s="557"/>
    </row>
    <row r="678" spans="1:5" x14ac:dyDescent="0.25">
      <c r="A678" s="559" t="s">
        <v>1066</v>
      </c>
      <c r="B678" s="559"/>
      <c r="C678" s="559"/>
      <c r="D678" s="559"/>
      <c r="E678" s="561">
        <f>(E672-E673-E674)+(E675+E676+E677)</f>
        <v>0</v>
      </c>
    </row>
    <row r="679" spans="1:5" x14ac:dyDescent="0.25">
      <c r="A679" s="556" t="s">
        <v>1010</v>
      </c>
      <c r="B679" s="556" t="s">
        <v>1010</v>
      </c>
      <c r="C679" s="556">
        <v>2600</v>
      </c>
      <c r="D679" s="556">
        <v>6600</v>
      </c>
      <c r="E679" s="557">
        <f>SUMIFS('Accounting data'!$G$2:$G$37003,'Accounting data'!$J$2:$J$37003,"26*",'Accounting data'!$K$2:$K$37003,"66*")</f>
        <v>5743</v>
      </c>
    </row>
    <row r="680" spans="1:5" x14ac:dyDescent="0.25">
      <c r="A680" s="556" t="s">
        <v>1011</v>
      </c>
      <c r="B680" s="556" t="s">
        <v>1010</v>
      </c>
      <c r="C680" s="556">
        <v>2600</v>
      </c>
      <c r="D680" s="556">
        <v>6600</v>
      </c>
      <c r="E680" s="557">
        <f>SUMIFS('Accounting data'!$G$2:$G$37003,'Accounting data'!$H$2:$H$37003,"9999*",'Accounting data'!$J$2:$J$37003,"26*",'Accounting data'!$K$2:$K$37003,"66*")</f>
        <v>0</v>
      </c>
    </row>
    <row r="681" spans="1:5" x14ac:dyDescent="0.25">
      <c r="A681" s="556" t="s">
        <v>1010</v>
      </c>
      <c r="B681" s="556" t="s">
        <v>1012</v>
      </c>
      <c r="C681" s="556">
        <v>2600</v>
      </c>
      <c r="D681" s="556">
        <v>6600</v>
      </c>
      <c r="E681" s="557">
        <f>SUMIFS('Accounting data'!$G$2:$G$37003,'Accounting data'!$I$2:$I$37003,"7*",'Accounting data'!$J$2:$J$37003,"26*",'Accounting data'!$K$2:$K$37003,"66*")+SUMIFS('Accounting data'!$G$2:$G$37003,'Accounting data'!$I$2:$I$37003,"8*",'Accounting data'!$J$2:$J$37003,"26*",'Accounting data'!$K$2:$K$37003,"66*")+SUMIFS('Accounting data'!$G$2:$G$37003,'Accounting data'!$I$2:$I$37003,"9*",'Accounting data'!$J$2:$J$37003,"26*",'Accounting data'!$K$2:$K$37003,"66*")</f>
        <v>0</v>
      </c>
    </row>
    <row r="682" spans="1:5" x14ac:dyDescent="0.25">
      <c r="A682" s="558" t="s">
        <v>1011</v>
      </c>
      <c r="B682" s="556" t="s">
        <v>1012</v>
      </c>
      <c r="C682" s="556">
        <v>2600</v>
      </c>
      <c r="D682" s="556">
        <v>6600</v>
      </c>
      <c r="E682" s="557">
        <f>SUMIFS('Accounting data'!$G$2:$G$37003,'Accounting data'!$H$2:$H$37003,"9999*",'Accounting data'!$I$2:$I$37003,"7*",'Accounting data'!$J$2:$J$37003,"26*",'Accounting data'!$K$2:$K$37003,"66*")+SUMIFS('Accounting data'!$G$2:$G$37003,'Accounting data'!$H$2:$H$37003,"9999*",'Accounting data'!$I$2:$I$37003,"8*",'Accounting data'!$J$2:$J$37003,"26*",'Accounting data'!$K$2:$K$37003,"66*")+SUMIFS('Accounting data'!$G$2:$G$37003,'Accounting data'!$H$2:$H$37003,"9999*",'Accounting data'!$I$2:$I$37003,"9*",'Accounting data'!$J$2:$J$37003,"26*",'Accounting data'!$K$2:$K$37003,"66*")</f>
        <v>0</v>
      </c>
    </row>
    <row r="683" spans="1:5" x14ac:dyDescent="0.25">
      <c r="A683" s="556"/>
      <c r="B683" s="556"/>
      <c r="C683" s="556"/>
      <c r="D683" s="556"/>
      <c r="E683" s="557"/>
    </row>
    <row r="684" spans="1:5" x14ac:dyDescent="0.25">
      <c r="A684" s="556"/>
      <c r="B684" s="556"/>
      <c r="C684" s="556"/>
      <c r="D684" s="556"/>
      <c r="E684" s="557"/>
    </row>
    <row r="685" spans="1:5" x14ac:dyDescent="0.25">
      <c r="A685" s="559" t="s">
        <v>1067</v>
      </c>
      <c r="B685" s="559"/>
      <c r="C685" s="559"/>
      <c r="D685" s="559"/>
      <c r="E685" s="561">
        <f>(E679-E680-E681)+(E682+E683+E684)</f>
        <v>5743</v>
      </c>
    </row>
    <row r="686" spans="1:5" x14ac:dyDescent="0.25">
      <c r="A686" s="556" t="s">
        <v>1010</v>
      </c>
      <c r="B686" s="556" t="s">
        <v>1010</v>
      </c>
      <c r="C686" s="556">
        <v>2700</v>
      </c>
      <c r="D686" s="556">
        <v>6600</v>
      </c>
      <c r="E686" s="557">
        <f>SUMIFS('Accounting data'!$G$2:$G$37003,'Accounting data'!$J$2:$J$37003,"27*",'Accounting data'!$K$2:$K$37003,"66*")</f>
        <v>0</v>
      </c>
    </row>
    <row r="687" spans="1:5" x14ac:dyDescent="0.25">
      <c r="A687" s="556" t="s">
        <v>1011</v>
      </c>
      <c r="B687" s="556" t="s">
        <v>1010</v>
      </c>
      <c r="C687" s="556">
        <v>2700</v>
      </c>
      <c r="D687" s="556">
        <v>6600</v>
      </c>
      <c r="E687" s="557">
        <f>SUMIFS('Accounting data'!$G$2:$G$37003,'Accounting data'!$H$2:$H$37003,"9999*",'Accounting data'!$J$2:$J$37003,"27*",'Accounting data'!$K$2:$K$37003,"66*")</f>
        <v>0</v>
      </c>
    </row>
    <row r="688" spans="1:5" x14ac:dyDescent="0.25">
      <c r="A688" s="556" t="s">
        <v>1010</v>
      </c>
      <c r="B688" s="556" t="s">
        <v>1012</v>
      </c>
      <c r="C688" s="556">
        <v>2700</v>
      </c>
      <c r="D688" s="556">
        <v>6600</v>
      </c>
      <c r="E688" s="557">
        <f>SUMIFS('Accounting data'!$G$2:$G$37003,'Accounting data'!$I$2:$I$37003,"7*",'Accounting data'!$J$2:$J$37003,"27*",'Accounting data'!$K$2:$K$37003,"66*")+SUMIFS('Accounting data'!$G$2:$G$37003,'Accounting data'!$I$2:$I$37003,"8*",'Accounting data'!$J$2:$J$37003,"27*",'Accounting data'!$K$2:$K$37003,"66*")+SUMIFS('Accounting data'!$G$2:$G$37003,'Accounting data'!$I$2:$I$37003,"9*",'Accounting data'!$J$2:$J$37003,"27*",'Accounting data'!$K$2:$K$37003,"66*")</f>
        <v>0</v>
      </c>
    </row>
    <row r="689" spans="1:5" x14ac:dyDescent="0.25">
      <c r="A689" s="558" t="s">
        <v>1011</v>
      </c>
      <c r="B689" s="556" t="s">
        <v>1012</v>
      </c>
      <c r="C689" s="556">
        <v>2700</v>
      </c>
      <c r="D689" s="556">
        <v>6600</v>
      </c>
      <c r="E689" s="557">
        <f>SUMIFS('Accounting data'!$G$2:$G$37003,'Accounting data'!$H$2:$H$37003,"9999*",'Accounting data'!$I$2:$I$37003,"7*",'Accounting data'!$J$2:$J$37003,"27*",'Accounting data'!$K$2:$K$37003,"66*")+SUMIFS('Accounting data'!$G$2:$G$37003,'Accounting data'!$H$2:$H$37003,"9999*",'Accounting data'!$I$2:$I$37003,"8*",'Accounting data'!$J$2:$J$37003,"27*",'Accounting data'!$K$2:$K$37003,"66*")+SUMIFS('Accounting data'!$G$2:$G$37003,'Accounting data'!$H$2:$H$37003,"9999*",'Accounting data'!$I$2:$I$37003,"9*",'Accounting data'!$J$2:$J$37003,"27*",'Accounting data'!$K$2:$K$37003,"66*")</f>
        <v>0</v>
      </c>
    </row>
    <row r="690" spans="1:5" x14ac:dyDescent="0.25">
      <c r="A690" s="556"/>
      <c r="B690" s="556"/>
      <c r="C690" s="556"/>
      <c r="D690" s="556"/>
      <c r="E690" s="557"/>
    </row>
    <row r="691" spans="1:5" x14ac:dyDescent="0.25">
      <c r="A691" s="556"/>
      <c r="B691" s="556"/>
      <c r="C691" s="556"/>
      <c r="D691" s="556"/>
      <c r="E691" s="557"/>
    </row>
    <row r="692" spans="1:5" x14ac:dyDescent="0.25">
      <c r="A692" s="559" t="s">
        <v>1068</v>
      </c>
      <c r="B692" s="559"/>
      <c r="C692" s="559"/>
      <c r="D692" s="559"/>
      <c r="E692" s="561">
        <f>(E686-E687-E688)+(E689+E690+E691)</f>
        <v>0</v>
      </c>
    </row>
    <row r="693" spans="1:5" x14ac:dyDescent="0.25">
      <c r="A693" s="556" t="s">
        <v>1010</v>
      </c>
      <c r="B693" s="556" t="s">
        <v>1010</v>
      </c>
      <c r="C693" s="556">
        <v>3100</v>
      </c>
      <c r="D693" s="556">
        <v>6600</v>
      </c>
      <c r="E693" s="557">
        <f>SUMIFS('Accounting data'!$G$2:$G$37003,'Accounting data'!$J$2:$J$37003,"31*",'Accounting data'!$K$2:$K$37003,"66*")</f>
        <v>0</v>
      </c>
    </row>
    <row r="694" spans="1:5" x14ac:dyDescent="0.25">
      <c r="A694" s="556" t="s">
        <v>1011</v>
      </c>
      <c r="B694" s="556" t="s">
        <v>1010</v>
      </c>
      <c r="C694" s="556">
        <v>3100</v>
      </c>
      <c r="D694" s="556">
        <v>6600</v>
      </c>
      <c r="E694" s="557">
        <f>SUMIFS('Accounting data'!$G$2:$G$37003,'Accounting data'!$H$2:$H$37003,"9999*",'Accounting data'!$J$2:$J$37003,"31*",'Accounting data'!$K$2:$K$37003,"66*")</f>
        <v>0</v>
      </c>
    </row>
    <row r="695" spans="1:5" x14ac:dyDescent="0.25">
      <c r="A695" s="556" t="s">
        <v>1010</v>
      </c>
      <c r="B695" s="556" t="s">
        <v>1012</v>
      </c>
      <c r="C695" s="556">
        <v>3100</v>
      </c>
      <c r="D695" s="556">
        <v>6600</v>
      </c>
      <c r="E695" s="557">
        <f>SUMIFS('Accounting data'!$G$2:$G$37003,'Accounting data'!$I$2:$I$37003,"7*",'Accounting data'!$J$2:$J$37003,"31*",'Accounting data'!$K$2:$K$37003,"66*")+SUMIFS('Accounting data'!$G$2:$G$37003,'Accounting data'!$I$2:$I$37003,"8*",'Accounting data'!$J$2:$J$37003,"31*",'Accounting data'!$K$2:$K$37003,"66*")+SUMIFS('Accounting data'!$G$2:$G$37003,'Accounting data'!$I$2:$I$37003,"9*",'Accounting data'!$J$2:$J$37003,"31*",'Accounting data'!$K$2:$K$37003,"66*")</f>
        <v>0</v>
      </c>
    </row>
    <row r="696" spans="1:5" x14ac:dyDescent="0.25">
      <c r="A696" s="558" t="s">
        <v>1011</v>
      </c>
      <c r="B696" s="556" t="s">
        <v>1012</v>
      </c>
      <c r="C696" s="556">
        <v>3100</v>
      </c>
      <c r="D696" s="556">
        <v>6600</v>
      </c>
      <c r="E696" s="557">
        <f>SUMIFS('Accounting data'!$G$2:$G$37003,'Accounting data'!$H$2:$H$37003,"9999*",'Accounting data'!$I$2:$I$37003,"7*",'Accounting data'!$J$2:$J$37003,"31*",'Accounting data'!$K$2:$K$37003,"66*")+SUMIFS('Accounting data'!$G$2:$G$37003,'Accounting data'!$H$2:$H$37003,"9999*",'Accounting data'!$I$2:$I$37003,"8*",'Accounting data'!$J$2:$J$37003,"31*",'Accounting data'!$K$2:$K$37003,"66*")+SUMIFS('Accounting data'!$G$2:$G$37003,'Accounting data'!$H$2:$H$37003,"9999*",'Accounting data'!$I$2:$I$37003,"9*",'Accounting data'!$J$2:$J$37003,"31*",'Accounting data'!$K$2:$K$37003,"66*")</f>
        <v>0</v>
      </c>
    </row>
    <row r="697" spans="1:5" x14ac:dyDescent="0.25">
      <c r="A697" s="556"/>
      <c r="B697" s="556"/>
      <c r="C697" s="556"/>
      <c r="D697" s="556"/>
      <c r="E697" s="557"/>
    </row>
    <row r="698" spans="1:5" x14ac:dyDescent="0.25">
      <c r="A698" s="556"/>
      <c r="B698" s="556"/>
      <c r="C698" s="556"/>
      <c r="D698" s="556"/>
      <c r="E698" s="557"/>
    </row>
    <row r="699" spans="1:5" x14ac:dyDescent="0.25">
      <c r="A699" s="559" t="s">
        <v>1069</v>
      </c>
      <c r="B699" s="559"/>
      <c r="C699" s="559"/>
      <c r="D699" s="559"/>
      <c r="E699" s="561">
        <f>(E693-E694-E695)+(E696+E697+E698)</f>
        <v>0</v>
      </c>
    </row>
    <row r="700" spans="1:5" x14ac:dyDescent="0.25">
      <c r="A700" s="556"/>
      <c r="B700" s="556"/>
      <c r="C700" s="556"/>
      <c r="D700" s="556"/>
      <c r="E700" s="557"/>
    </row>
    <row r="701" spans="1:5" x14ac:dyDescent="0.25">
      <c r="A701" s="556"/>
      <c r="B701" s="556"/>
      <c r="C701" s="556"/>
      <c r="D701" s="556"/>
      <c r="E701" s="557"/>
    </row>
    <row r="702" spans="1:5" x14ac:dyDescent="0.25">
      <c r="A702" s="556"/>
      <c r="B702" s="556"/>
      <c r="C702" s="556"/>
      <c r="D702" s="556"/>
      <c r="E702" s="557"/>
    </row>
    <row r="703" spans="1:5" x14ac:dyDescent="0.25">
      <c r="A703" s="558"/>
      <c r="B703" s="556"/>
      <c r="C703" s="556"/>
      <c r="D703" s="556"/>
      <c r="E703" s="557"/>
    </row>
    <row r="704" spans="1:5" x14ac:dyDescent="0.25">
      <c r="A704" s="556"/>
      <c r="B704" s="556"/>
      <c r="C704" s="556"/>
      <c r="D704" s="556"/>
      <c r="E704" s="557"/>
    </row>
    <row r="705" spans="1:5" x14ac:dyDescent="0.25">
      <c r="A705" s="556"/>
      <c r="B705" s="556"/>
      <c r="C705" s="556"/>
      <c r="D705" s="556"/>
      <c r="E705" s="557"/>
    </row>
    <row r="706" spans="1:5" x14ac:dyDescent="0.25">
      <c r="A706" s="559"/>
      <c r="B706" s="559"/>
      <c r="C706" s="559"/>
      <c r="D706" s="559"/>
      <c r="E706" s="561"/>
    </row>
    <row r="707" spans="1:5" x14ac:dyDescent="0.25">
      <c r="A707" s="556" t="s">
        <v>1010</v>
      </c>
      <c r="B707" s="556" t="s">
        <v>1010</v>
      </c>
      <c r="C707" s="556">
        <v>3400</v>
      </c>
      <c r="D707" s="556">
        <v>6600</v>
      </c>
      <c r="E707" s="557">
        <f>SUMIFS('Accounting data'!$G$2:$G$37003,'Accounting data'!$J$2:$J$37003,"34*",'Accounting data'!$K$2:$K$37003,"66*")</f>
        <v>0</v>
      </c>
    </row>
    <row r="708" spans="1:5" x14ac:dyDescent="0.25">
      <c r="A708" s="556" t="s">
        <v>1011</v>
      </c>
      <c r="B708" s="556" t="s">
        <v>1010</v>
      </c>
      <c r="C708" s="556">
        <v>3400</v>
      </c>
      <c r="D708" s="556">
        <v>6600</v>
      </c>
      <c r="E708" s="557">
        <f>SUMIFS('Accounting data'!$G$2:$G$37003,'Accounting data'!$H$2:$H$37003,"9999*",'Accounting data'!$J$2:$J$37003,"34*",'Accounting data'!$K$2:$K$37003,"66*")</f>
        <v>0</v>
      </c>
    </row>
    <row r="709" spans="1:5" x14ac:dyDescent="0.25">
      <c r="A709" s="556" t="s">
        <v>1010</v>
      </c>
      <c r="B709" s="556" t="s">
        <v>1012</v>
      </c>
      <c r="C709" s="556">
        <v>3400</v>
      </c>
      <c r="D709" s="556">
        <v>6600</v>
      </c>
      <c r="E709" s="557">
        <f>SUMIFS('Accounting data'!$G$2:$G$37003,'Accounting data'!$I$2:$I$37003,"7*",'Accounting data'!$J$2:$J$37003,"34*",'Accounting data'!$K$2:$K$37003,"66*")+SUMIFS('Accounting data'!$G$2:$G$37003,'Accounting data'!$I$2:$I$37003,"8*",'Accounting data'!$J$2:$J$37003,"34*",'Accounting data'!$K$2:$K$37003,"66*")+SUMIFS('Accounting data'!$G$2:$G$37003,'Accounting data'!$I$2:$I$37003,"9*",'Accounting data'!$J$2:$J$37003,"34*",'Accounting data'!$K$2:$K$37003,"66*")</f>
        <v>0</v>
      </c>
    </row>
    <row r="710" spans="1:5" x14ac:dyDescent="0.25">
      <c r="A710" s="558" t="s">
        <v>1011</v>
      </c>
      <c r="B710" s="556" t="s">
        <v>1012</v>
      </c>
      <c r="C710" s="556">
        <v>3400</v>
      </c>
      <c r="D710" s="556">
        <v>6600</v>
      </c>
      <c r="E710" s="557">
        <f>SUMIFS('Accounting data'!$G$2:$G$37003,'Accounting data'!$H$2:$H$37003,"9999*",'Accounting data'!$I$2:$I$37003,"7*",'Accounting data'!$J$2:$J$37003,"34*",'Accounting data'!$K$2:$K$37003,"66*")+SUMIFS('Accounting data'!$G$2:$G$37003,'Accounting data'!$H$2:$H$37003,"9999*",'Accounting data'!$I$2:$I$37003,"8*",'Accounting data'!$J$2:$J$37003,"34*",'Accounting data'!$K$2:$K$37003,"66*")+SUMIFS('Accounting data'!$G$2:$G$37003,'Accounting data'!$H$2:$H$37003,"9999*",'Accounting data'!$I$2:$I$37003,"9*",'Accounting data'!$J$2:$J$37003,"34*",'Accounting data'!$K$2:$K$37003,"66*")</f>
        <v>0</v>
      </c>
    </row>
    <row r="711" spans="1:5" x14ac:dyDescent="0.25">
      <c r="A711" s="556"/>
      <c r="B711" s="556"/>
      <c r="C711" s="556"/>
      <c r="D711" s="556"/>
      <c r="E711" s="557"/>
    </row>
    <row r="712" spans="1:5" x14ac:dyDescent="0.25">
      <c r="A712" s="556"/>
      <c r="B712" s="556"/>
      <c r="C712" s="556"/>
      <c r="D712" s="556"/>
      <c r="E712" s="557"/>
    </row>
    <row r="713" spans="1:5" x14ac:dyDescent="0.25">
      <c r="A713" s="559" t="s">
        <v>1070</v>
      </c>
      <c r="B713" s="559"/>
      <c r="C713" s="559"/>
      <c r="D713" s="559"/>
      <c r="E713" s="561">
        <f>(E707-E708-E709)+(E710+E711+E712)</f>
        <v>0</v>
      </c>
    </row>
    <row r="714" spans="1:5" x14ac:dyDescent="0.25">
      <c r="A714" s="556" t="s">
        <v>1010</v>
      </c>
      <c r="B714" s="556" t="s">
        <v>1010</v>
      </c>
      <c r="C714" s="556">
        <v>4000</v>
      </c>
      <c r="D714" s="556">
        <v>6600</v>
      </c>
      <c r="E714" s="557">
        <f>SUMIFS('Accounting data'!$G$2:$G$37003,'Accounting data'!$J$2:$J$37003,"4*",'Accounting data'!$K$2:$K$37003,"66*")</f>
        <v>0</v>
      </c>
    </row>
    <row r="715" spans="1:5" x14ac:dyDescent="0.25">
      <c r="A715" s="556" t="s">
        <v>1011</v>
      </c>
      <c r="B715" s="556" t="s">
        <v>1010</v>
      </c>
      <c r="C715" s="556">
        <v>4000</v>
      </c>
      <c r="D715" s="556">
        <v>6600</v>
      </c>
      <c r="E715" s="557">
        <f>SUMIFS('Accounting data'!$G$2:$G$37003,'Accounting data'!$H$2:$H$37003,"9999*",'Accounting data'!$J$2:$J$37003,"4*",'Accounting data'!$K$2:$K$37003,"66*")</f>
        <v>0</v>
      </c>
    </row>
    <row r="716" spans="1:5" x14ac:dyDescent="0.25">
      <c r="A716" s="556" t="s">
        <v>1010</v>
      </c>
      <c r="B716" s="556" t="s">
        <v>1012</v>
      </c>
      <c r="C716" s="556">
        <v>4000</v>
      </c>
      <c r="D716" s="556">
        <v>6600</v>
      </c>
      <c r="E716" s="557">
        <f>SUMIFS('Accounting data'!$G$2:$G$37003,'Accounting data'!$I$2:$I$37003,"7*",'Accounting data'!$J$2:$J$37003,"4*",'Accounting data'!$K$2:$K$37003,"66*")+SUMIFS('Accounting data'!$G$2:$G$37003,'Accounting data'!$I$2:$I$37003,"8*",'Accounting data'!$J$2:$J$37003,"4*",'Accounting data'!$K$2:$K$37003,"66*")+SUMIFS('Accounting data'!$G$2:$G$37003,'Accounting data'!$I$2:$I$37003,"9*",'Accounting data'!$J$2:$J$37003,"4*",'Accounting data'!$K$2:$K$37003,"66*")</f>
        <v>0</v>
      </c>
    </row>
    <row r="717" spans="1:5" x14ac:dyDescent="0.25">
      <c r="A717" s="558" t="s">
        <v>1011</v>
      </c>
      <c r="B717" s="556" t="s">
        <v>1012</v>
      </c>
      <c r="C717" s="556">
        <v>4000</v>
      </c>
      <c r="D717" s="556">
        <v>6600</v>
      </c>
      <c r="E717" s="557">
        <f>SUMIFS('Accounting data'!$G$2:$G$37003,'Accounting data'!$H$2:$H$37003,"9999*",'Accounting data'!$I$2:$I$37003,"7*",'Accounting data'!$J$2:$J$37003,"4*",'Accounting data'!$K$2:$K$37003,"66*")+SUMIFS('Accounting data'!$G$2:$G$37003,'Accounting data'!$H$2:$H$37003,"9999*",'Accounting data'!$I$2:$I$37003,"8*",'Accounting data'!$J$2:$J$37003,"4*",'Accounting data'!$K$2:$K$37003,"66*")+SUMIFS('Accounting data'!$G$2:$G$37003,'Accounting data'!$H$2:$H$37003,"9999*",'Accounting data'!$I$2:$I$37003,"9*",'Accounting data'!$J$2:$J$37003,"4*",'Accounting data'!$K$2:$K$37003,"66*")</f>
        <v>0</v>
      </c>
    </row>
    <row r="718" spans="1:5" x14ac:dyDescent="0.25">
      <c r="A718" s="556"/>
      <c r="B718" s="556"/>
      <c r="C718" s="556"/>
      <c r="D718" s="556"/>
      <c r="E718" s="557"/>
    </row>
    <row r="719" spans="1:5" x14ac:dyDescent="0.25">
      <c r="A719" s="556"/>
      <c r="B719" s="556"/>
      <c r="C719" s="556"/>
      <c r="D719" s="556"/>
      <c r="E719" s="557"/>
    </row>
    <row r="720" spans="1:5" x14ac:dyDescent="0.25">
      <c r="A720" s="559" t="s">
        <v>1071</v>
      </c>
      <c r="B720" s="559"/>
      <c r="C720" s="559"/>
      <c r="D720" s="559"/>
      <c r="E720" s="561">
        <f>(E714-E715-E716)+(E717+E718+E719)</f>
        <v>0</v>
      </c>
    </row>
    <row r="721" spans="1:5" x14ac:dyDescent="0.25">
      <c r="A721" s="567" t="s">
        <v>1072</v>
      </c>
      <c r="B721" s="567"/>
      <c r="C721" s="567"/>
      <c r="D721" s="567"/>
      <c r="E721" s="568">
        <f>E636+E643+E650+E657+E664+E671+E678+E685+E692+E699+E706+E713</f>
        <v>5848</v>
      </c>
    </row>
    <row r="722" spans="1:5" x14ac:dyDescent="0.25">
      <c r="A722" s="556" t="s">
        <v>1026</v>
      </c>
      <c r="B722" s="556" t="s">
        <v>1010</v>
      </c>
      <c r="C722" s="556">
        <v>1000</v>
      </c>
      <c r="D722" s="556">
        <v>6600</v>
      </c>
      <c r="E722" s="557">
        <f>SUMIFS('Accounting data'!$G$2:$G$37003,'Accounting data'!$H$2:$H$37003,"11*",'Accounting data'!$J$2:$J$37003,"1*",'Accounting data'!$K$2:$K$37003,"66*")+SUMIFS('Accounting data'!$G$2:$G$37003,'Accounting data'!$H$2:$H$37003,"12*",'Accounting data'!$J$2:$J$37003,"1*",'Accounting data'!$K$2:$K$37003,"66*")+SUMIFS('Accounting data'!$G$2:$G$37003,'Accounting data'!$H$2:$H$37003,"13*",'Accounting data'!$J$2:$J$37003,"1*",'Accounting data'!$K$2:$K$37003,"66*")</f>
        <v>0</v>
      </c>
    </row>
    <row r="723" spans="1:5" x14ac:dyDescent="0.25">
      <c r="A723" s="556" t="s">
        <v>1026</v>
      </c>
      <c r="B723" s="556" t="s">
        <v>1010</v>
      </c>
      <c r="C723" s="556">
        <v>2000</v>
      </c>
      <c r="D723" s="556">
        <v>6600</v>
      </c>
      <c r="E723" s="557">
        <f>SUMIFS('Accounting data'!$G$2:$G$37003,'Accounting data'!$H$2:$H$37003,"11*",'Accounting data'!$J$2:$J$37003,"2*",'Accounting data'!$K$2:$K$37003,"66*")+SUMIFS('Accounting data'!$G$2:$G$37003,'Accounting data'!$H$2:$H$37003,"12*",'Accounting data'!$J$2:$J$37003,"2*",'Accounting data'!$K$2:$K$37003,"66*")+SUMIFS('Accounting data'!$G$2:$G$37003,'Accounting data'!$H$2:$H$37003,"13*",'Accounting data'!$J$2:$J$37003,"2*",'Accounting data'!$K$2:$K$37003,"66*")</f>
        <v>0</v>
      </c>
    </row>
    <row r="724" spans="1:5" x14ac:dyDescent="0.25">
      <c r="A724" s="556" t="s">
        <v>1026</v>
      </c>
      <c r="B724" s="556" t="s">
        <v>1010</v>
      </c>
      <c r="C724" s="556">
        <v>3000</v>
      </c>
      <c r="D724" s="556">
        <v>6600</v>
      </c>
      <c r="E724" s="557">
        <f>SUMIFS('Accounting data'!$G$2:$G$37003,'Accounting data'!$H$2:$H$37003,"11*",'Accounting data'!$J$2:$J$37003,"3*",'Accounting data'!$K$2:$K$37003,"66*")+SUMIFS('Accounting data'!$G$2:$G$37003,'Accounting data'!$H$2:$H$37003,"12*",'Accounting data'!$J$2:$J$37003,"3*",'Accounting data'!$K$2:$K$37003,"66*")+SUMIFS('Accounting data'!$G$2:$G$37003,'Accounting data'!$H$2:$H$37003,"13*",'Accounting data'!$J$2:$J$37003,"3*",'Accounting data'!$K$2:$K$37003,"66*")</f>
        <v>0</v>
      </c>
    </row>
    <row r="725" spans="1:5" x14ac:dyDescent="0.25">
      <c r="A725" s="556" t="s">
        <v>1026</v>
      </c>
      <c r="B725" s="558">
        <v>700</v>
      </c>
      <c r="C725" s="556">
        <v>1000</v>
      </c>
      <c r="D725" s="556">
        <v>6600</v>
      </c>
      <c r="E725" s="557">
        <f>SUMIFS('Accounting data'!$G$2:$G$37003,'Accounting data'!$H$2:$H$37003,"11*",'Accounting data'!$I$2:$I$37003,"7*",'Accounting data'!$J$2:$J$37003,"1*",'Accounting data'!$K$2:$K$37003,"66*")+SUMIFS('Accounting data'!$G$2:$G$37003,'Accounting data'!$H$2:$H$37003,"12*",'Accounting data'!$I$2:$I$37003,"7*",'Accounting data'!$J$2:$J$37003,"1*",'Accounting data'!$K$2:$K$37003,"66*")+SUMIFS('Accounting data'!$G$2:$G$37003,'Accounting data'!$H$2:$H$37003,"13*",'Accounting data'!$I$2:$I$37003,"7*",'Accounting data'!$J$2:$J$37003,"1*",'Accounting data'!$K$2:$K$37003,"66*")</f>
        <v>0</v>
      </c>
    </row>
    <row r="726" spans="1:5" x14ac:dyDescent="0.25">
      <c r="A726" s="556" t="s">
        <v>1026</v>
      </c>
      <c r="B726" s="558">
        <v>800</v>
      </c>
      <c r="C726" s="556">
        <v>1000</v>
      </c>
      <c r="D726" s="556">
        <v>6600</v>
      </c>
      <c r="E726" s="557">
        <f>SUMIFS('Accounting data'!$G$2:$G$37003,'Accounting data'!$H$2:$H$37003,"11*",'Accounting data'!$I$2:$I$37003,"8*",'Accounting data'!$J$2:$J$37003,"1*",'Accounting data'!$K$2:$K$37003,"66*")+SUMIFS('Accounting data'!$G$2:$G$37003,'Accounting data'!$H$2:$H$37003,"12*",'Accounting data'!$I$2:$I$37003,"8*",'Accounting data'!$J$2:$J$37003,"1*",'Accounting data'!$K$2:$K$37003,"66*")+SUMIFS('Accounting data'!$G$2:$G$37003,'Accounting data'!$H$2:$H$37003,"13*",'Accounting data'!$I$2:$I$37003,"8*",'Accounting data'!$J$2:$J$37003,"1*",'Accounting data'!$K$2:$K$37003,"66*")</f>
        <v>0</v>
      </c>
    </row>
    <row r="727" spans="1:5" x14ac:dyDescent="0.25">
      <c r="A727" s="556" t="s">
        <v>1026</v>
      </c>
      <c r="B727" s="558">
        <v>900</v>
      </c>
      <c r="C727" s="556">
        <v>1000</v>
      </c>
      <c r="D727" s="556">
        <v>6600</v>
      </c>
      <c r="E727" s="557">
        <f>SUMIFS('Accounting data'!$G$2:$G$37003,'Accounting data'!$H$2:$H$37003,"11*",'Accounting data'!$I$2:$I$37003,"9*",'Accounting data'!$J$2:$J$37003,"1*",'Accounting data'!$K$2:$K$37003,"66*")+SUMIFS('Accounting data'!$G$2:$G$37003,'Accounting data'!$H$2:$H$37003,"12*",'Accounting data'!$I$2:$I$37003,"9*",'Accounting data'!$J$2:$J$37003,"1*",'Accounting data'!$K$2:$K$37003,"66*")+SUMIFS('Accounting data'!$G$2:$G$37003,'Accounting data'!$H$2:$H$37003,"13*",'Accounting data'!$I$2:$I$37003,"9*",'Accounting data'!$J$2:$J$37003,"1*",'Accounting data'!$K$2:$K$37003,"66*")</f>
        <v>0</v>
      </c>
    </row>
    <row r="728" spans="1:5" x14ac:dyDescent="0.25">
      <c r="A728" s="556" t="s">
        <v>1026</v>
      </c>
      <c r="B728" s="558">
        <v>700</v>
      </c>
      <c r="C728" s="556">
        <v>2000</v>
      </c>
      <c r="D728" s="556">
        <v>6600</v>
      </c>
      <c r="E728" s="557">
        <f>SUMIFS('Accounting data'!$G$2:$G$37003,'Accounting data'!$H$2:$H$37003,"11*",'Accounting data'!$I$2:$I$37003,"7*",'Accounting data'!$J$2:$J$37003,"2*",'Accounting data'!$K$2:$K$37003,"66*")+SUMIFS('Accounting data'!$G$2:$G$37003,'Accounting data'!$H$2:$H$37003,"12*",'Accounting data'!$I$2:$I$37003,"7*",'Accounting data'!$J$2:$J$37003,"2*",'Accounting data'!$K$2:$K$37003,"66*")+SUMIFS('Accounting data'!$G$2:$G$37003,'Accounting data'!$H$2:$H$37003,"13*",'Accounting data'!$I$2:$I$37003,"7*",'Accounting data'!$J$2:$J$37003,"2*",'Accounting data'!$K$2:$K$37003,"66*")</f>
        <v>0</v>
      </c>
    </row>
    <row r="729" spans="1:5" x14ac:dyDescent="0.25">
      <c r="A729" s="556" t="s">
        <v>1026</v>
      </c>
      <c r="B729" s="558">
        <v>800</v>
      </c>
      <c r="C729" s="556">
        <v>2000</v>
      </c>
      <c r="D729" s="556">
        <v>6600</v>
      </c>
      <c r="E729" s="557">
        <f>SUMIFS('Accounting data'!$G$2:$G$37003,'Accounting data'!$H$2:$H$37003,"11*",'Accounting data'!$I$2:$I$37003,"8*",'Accounting data'!$J$2:$J$37003,"2*",'Accounting data'!$K$2:$K$37003,"66*")+SUMIFS('Accounting data'!$G$2:$G$37003,'Accounting data'!$H$2:$H$37003,"12*",'Accounting data'!$I$2:$I$37003,"8*",'Accounting data'!$J$2:$J$37003,"2*",'Accounting data'!$K$2:$K$37003,"66*")+SUMIFS('Accounting data'!$G$2:$G$37003,'Accounting data'!$H$2:$H$37003,"13*",'Accounting data'!$I$2:$I$37003,"8*",'Accounting data'!$J$2:$J$37003,"2*",'Accounting data'!$K$2:$K$37003,"66*")</f>
        <v>0</v>
      </c>
    </row>
    <row r="730" spans="1:5" x14ac:dyDescent="0.25">
      <c r="A730" s="556" t="s">
        <v>1026</v>
      </c>
      <c r="B730" s="558">
        <v>900</v>
      </c>
      <c r="C730" s="556">
        <v>2000</v>
      </c>
      <c r="D730" s="556">
        <v>6600</v>
      </c>
      <c r="E730" s="557">
        <f>SUMIFS('Accounting data'!$G$2:$G$37003,'Accounting data'!$H$2:$H$37003,"11*",'Accounting data'!$I$2:$I$37003,"9*",'Accounting data'!$J$2:$J$37003,"2*",'Accounting data'!$K$2:$K$37003,"66*")+SUMIFS('Accounting data'!$G$2:$G$37003,'Accounting data'!$H$2:$H$37003,"12*",'Accounting data'!$I$2:$I$37003,"9*",'Accounting data'!$J$2:$J$37003,"2*",'Accounting data'!$K$2:$K$37003,"66*")+SUMIFS('Accounting data'!$G$2:$G$37003,'Accounting data'!$H$2:$H$37003,"13*",'Accounting data'!$I$2:$I$37003,"9*",'Accounting data'!$J$2:$J$37003,"2*",'Accounting data'!$K$2:$K$37003,"66*")</f>
        <v>0</v>
      </c>
    </row>
    <row r="731" spans="1:5" x14ac:dyDescent="0.25">
      <c r="A731" s="556" t="s">
        <v>1026</v>
      </c>
      <c r="B731" s="558">
        <v>700</v>
      </c>
      <c r="C731" s="556">
        <v>3000</v>
      </c>
      <c r="D731" s="556">
        <v>6600</v>
      </c>
      <c r="E731" s="557">
        <f>SUMIFS('Accounting data'!$G$2:$G$37003,'Accounting data'!$H$2:$H$37003,"11*",'Accounting data'!$I$2:$I$37003,"7*",'Accounting data'!$J$2:$J$37003,"3*",'Accounting data'!$K$2:$K$37003,"66*")+SUMIFS('Accounting data'!$G$2:$G$37003,'Accounting data'!$H$2:$H$37003,"12*",'Accounting data'!$I$2:$I$37003,"7*",'Accounting data'!$J$2:$J$37003,"3*",'Accounting data'!$K$2:$K$37003,"66*")+SUMIFS('Accounting data'!$G$2:$G$37003,'Accounting data'!$H$2:$H$37003,"13*",'Accounting data'!$I$2:$I$37003,"7*",'Accounting data'!$J$2:$J$37003,"3*",'Accounting data'!$K$2:$K$37003,"66*")</f>
        <v>0</v>
      </c>
    </row>
    <row r="732" spans="1:5" x14ac:dyDescent="0.25">
      <c r="A732" s="556" t="s">
        <v>1026</v>
      </c>
      <c r="B732" s="558">
        <v>800</v>
      </c>
      <c r="C732" s="556">
        <v>3000</v>
      </c>
      <c r="D732" s="556">
        <v>6600</v>
      </c>
      <c r="E732" s="557">
        <f>SUMIFS('Accounting data'!$G$2:$G$37003,'Accounting data'!$H$2:$H$37003,"11*",'Accounting data'!$I$2:$I$37003,"8*",'Accounting data'!$J$2:$J$37003,"3*",'Accounting data'!$K$2:$K$37003,"66*")+SUMIFS('Accounting data'!$G$2:$G$37003,'Accounting data'!$H$2:$H$37003,"12*",'Accounting data'!$I$2:$I$37003,"8*",'Accounting data'!$J$2:$J$37003,"3*",'Accounting data'!$K$2:$K$37003,"66*")+SUMIFS('Accounting data'!$G$2:$G$37003,'Accounting data'!$H$2:$H$37003,"13*",'Accounting data'!$I$2:$I$37003,"8*",'Accounting data'!$J$2:$J$37003,"3*",'Accounting data'!$K$2:$K$37003,"66*")</f>
        <v>0</v>
      </c>
    </row>
    <row r="733" spans="1:5" x14ac:dyDescent="0.25">
      <c r="A733" s="556" t="s">
        <v>1026</v>
      </c>
      <c r="B733" s="558">
        <v>900</v>
      </c>
      <c r="C733" s="556">
        <v>3000</v>
      </c>
      <c r="D733" s="556">
        <v>6600</v>
      </c>
      <c r="E733" s="557">
        <f>SUMIFS('Accounting data'!$G$2:$G$37003,'Accounting data'!$H$2:$H$37003,"11*",'Accounting data'!$I$2:$I$37003,"9*",'Accounting data'!$J$2:$J$37003,"3*",'Accounting data'!$K$2:$K$37003,"66*")+SUMIFS('Accounting data'!$G$2:$G$37003,'Accounting data'!$H$2:$H$37003,"12*",'Accounting data'!$I$2:$I$37003,"9*",'Accounting data'!$J$2:$J$37003,"3*",'Accounting data'!$K$2:$K$37003,"66*")+SUMIFS('Accounting data'!$G$2:$G$37003,'Accounting data'!$H$2:$H$37003,"13*",'Accounting data'!$I$2:$I$37003,"9*",'Accounting data'!$J$2:$J$37003,"3*",'Accounting data'!$K$2:$K$37003,"66*")</f>
        <v>0</v>
      </c>
    </row>
    <row r="734" spans="1:5" x14ac:dyDescent="0.25">
      <c r="A734" s="559" t="s">
        <v>1073</v>
      </c>
      <c r="B734" s="559"/>
      <c r="C734" s="559"/>
      <c r="D734" s="559"/>
      <c r="E734" s="561">
        <f>(E722+E723+E724)-(E725+E726+E727+E728+E729+E730+E731+E732+E733)</f>
        <v>0</v>
      </c>
    </row>
    <row r="735" spans="1:5" x14ac:dyDescent="0.25">
      <c r="A735" s="556"/>
      <c r="B735" s="556"/>
      <c r="C735" s="556"/>
      <c r="D735" s="556"/>
      <c r="E735" s="557"/>
    </row>
    <row r="736" spans="1:5" x14ac:dyDescent="0.25">
      <c r="A736" s="556"/>
      <c r="B736" s="556"/>
      <c r="C736" s="556"/>
      <c r="D736" s="556"/>
      <c r="E736" s="557"/>
    </row>
    <row r="737" spans="1:5" x14ac:dyDescent="0.25">
      <c r="A737" s="556"/>
      <c r="B737" s="556"/>
      <c r="C737" s="556"/>
      <c r="D737" s="556"/>
      <c r="E737" s="557"/>
    </row>
    <row r="738" spans="1:5" x14ac:dyDescent="0.25">
      <c r="A738" s="558"/>
      <c r="B738" s="556"/>
      <c r="C738" s="556"/>
      <c r="D738" s="556"/>
      <c r="E738" s="557"/>
    </row>
    <row r="739" spans="1:5" x14ac:dyDescent="0.25">
      <c r="A739" s="556"/>
      <c r="B739" s="556"/>
      <c r="C739" s="556"/>
      <c r="D739" s="556"/>
      <c r="E739" s="557"/>
    </row>
    <row r="740" spans="1:5" x14ac:dyDescent="0.25">
      <c r="A740" s="556"/>
      <c r="B740" s="556"/>
      <c r="C740" s="556"/>
      <c r="D740" s="556"/>
      <c r="E740" s="557"/>
    </row>
    <row r="741" spans="1:5" x14ac:dyDescent="0.25">
      <c r="A741" s="556"/>
      <c r="B741" s="556"/>
      <c r="C741" s="556"/>
      <c r="D741" s="565"/>
      <c r="E741" s="557"/>
    </row>
    <row r="742" spans="1:5" x14ac:dyDescent="0.25">
      <c r="A742" s="556"/>
      <c r="B742" s="556"/>
      <c r="C742" s="556"/>
      <c r="D742" s="565"/>
      <c r="E742" s="557"/>
    </row>
    <row r="743" spans="1:5" x14ac:dyDescent="0.25">
      <c r="A743" s="556"/>
      <c r="B743" s="556"/>
      <c r="C743" s="556"/>
      <c r="D743" s="565"/>
      <c r="E743" s="557"/>
    </row>
    <row r="744" spans="1:5" x14ac:dyDescent="0.25">
      <c r="A744" s="558"/>
      <c r="B744" s="556"/>
      <c r="C744" s="556"/>
      <c r="D744" s="565"/>
      <c r="E744" s="557"/>
    </row>
    <row r="745" spans="1:5" x14ac:dyDescent="0.25">
      <c r="A745" s="556"/>
      <c r="B745" s="556"/>
      <c r="C745" s="556"/>
      <c r="D745" s="565"/>
      <c r="E745" s="557"/>
    </row>
    <row r="746" spans="1:5" x14ac:dyDescent="0.25">
      <c r="A746" s="556"/>
      <c r="B746" s="556"/>
      <c r="C746" s="556"/>
      <c r="D746" s="565"/>
      <c r="E746" s="557"/>
    </row>
    <row r="747" spans="1:5" x14ac:dyDescent="0.25">
      <c r="A747" s="559"/>
      <c r="B747" s="559"/>
      <c r="C747" s="559"/>
      <c r="D747" s="559"/>
      <c r="E747" s="561"/>
    </row>
    <row r="748" spans="1:5" x14ac:dyDescent="0.25">
      <c r="A748" s="556"/>
      <c r="B748" s="556"/>
      <c r="C748" s="556"/>
      <c r="D748" s="556"/>
      <c r="E748" s="557"/>
    </row>
    <row r="749" spans="1:5" x14ac:dyDescent="0.25">
      <c r="A749" s="556"/>
      <c r="B749" s="556"/>
      <c r="C749" s="556"/>
      <c r="D749" s="556"/>
      <c r="E749" s="557"/>
    </row>
    <row r="750" spans="1:5" x14ac:dyDescent="0.25">
      <c r="A750" s="556"/>
      <c r="B750" s="556"/>
      <c r="C750" s="556"/>
      <c r="D750" s="556"/>
      <c r="E750" s="557"/>
    </row>
    <row r="751" spans="1:5" x14ac:dyDescent="0.25">
      <c r="A751" s="558"/>
      <c r="B751" s="556"/>
      <c r="C751" s="556"/>
      <c r="D751" s="556"/>
      <c r="E751" s="557"/>
    </row>
    <row r="752" spans="1:5" x14ac:dyDescent="0.25">
      <c r="A752" s="556"/>
      <c r="B752" s="556"/>
      <c r="C752" s="556"/>
      <c r="D752" s="556"/>
      <c r="E752" s="557"/>
    </row>
    <row r="753" spans="1:5" x14ac:dyDescent="0.25">
      <c r="A753" s="556"/>
      <c r="B753" s="556"/>
      <c r="C753" s="556"/>
      <c r="D753" s="556"/>
      <c r="E753" s="557"/>
    </row>
    <row r="754" spans="1:5" x14ac:dyDescent="0.25">
      <c r="A754" s="556"/>
      <c r="B754" s="556"/>
      <c r="C754" s="556"/>
      <c r="D754" s="565"/>
      <c r="E754" s="557"/>
    </row>
    <row r="755" spans="1:5" x14ac:dyDescent="0.25">
      <c r="A755" s="556"/>
      <c r="B755" s="556"/>
      <c r="C755" s="556"/>
      <c r="D755" s="565"/>
      <c r="E755" s="557"/>
    </row>
    <row r="756" spans="1:5" x14ac:dyDescent="0.25">
      <c r="A756" s="556"/>
      <c r="B756" s="556"/>
      <c r="C756" s="556"/>
      <c r="D756" s="565"/>
      <c r="E756" s="557"/>
    </row>
    <row r="757" spans="1:5" x14ac:dyDescent="0.25">
      <c r="A757" s="558"/>
      <c r="B757" s="556"/>
      <c r="C757" s="556"/>
      <c r="D757" s="565"/>
      <c r="E757" s="557"/>
    </row>
    <row r="758" spans="1:5" x14ac:dyDescent="0.25">
      <c r="A758" s="556"/>
      <c r="B758" s="556"/>
      <c r="C758" s="556"/>
      <c r="D758" s="565"/>
      <c r="E758" s="557"/>
    </row>
    <row r="759" spans="1:5" x14ac:dyDescent="0.25">
      <c r="A759" s="556"/>
      <c r="B759" s="556"/>
      <c r="C759" s="556"/>
      <c r="D759" s="565"/>
      <c r="E759" s="557"/>
    </row>
    <row r="760" spans="1:5" x14ac:dyDescent="0.25">
      <c r="A760" s="559"/>
      <c r="B760" s="559"/>
      <c r="C760" s="559"/>
      <c r="D760" s="559"/>
      <c r="E760" s="561"/>
    </row>
    <row r="761" spans="1:5" x14ac:dyDescent="0.25">
      <c r="A761" s="556"/>
      <c r="B761" s="556"/>
      <c r="C761" s="556"/>
      <c r="D761" s="556"/>
      <c r="E761" s="557"/>
    </row>
    <row r="762" spans="1:5" x14ac:dyDescent="0.25">
      <c r="A762" s="556"/>
      <c r="B762" s="556"/>
      <c r="C762" s="556"/>
      <c r="D762" s="556"/>
      <c r="E762" s="557"/>
    </row>
    <row r="763" spans="1:5" x14ac:dyDescent="0.25">
      <c r="A763" s="556"/>
      <c r="B763" s="556"/>
      <c r="C763" s="556"/>
      <c r="D763" s="556"/>
      <c r="E763" s="557"/>
    </row>
    <row r="764" spans="1:5" x14ac:dyDescent="0.25">
      <c r="A764" s="558"/>
      <c r="B764" s="556"/>
      <c r="C764" s="556"/>
      <c r="D764" s="556"/>
      <c r="E764" s="557"/>
    </row>
    <row r="765" spans="1:5" x14ac:dyDescent="0.25">
      <c r="A765" s="556"/>
      <c r="B765" s="556"/>
      <c r="C765" s="556"/>
      <c r="D765" s="556"/>
      <c r="E765" s="557"/>
    </row>
    <row r="766" spans="1:5" x14ac:dyDescent="0.25">
      <c r="A766" s="556"/>
      <c r="B766" s="556"/>
      <c r="C766" s="556"/>
      <c r="D766" s="556"/>
      <c r="E766" s="557"/>
    </row>
    <row r="767" spans="1:5" x14ac:dyDescent="0.25">
      <c r="A767" s="556"/>
      <c r="B767" s="556"/>
      <c r="C767" s="556"/>
      <c r="D767" s="565"/>
      <c r="E767" s="557"/>
    </row>
    <row r="768" spans="1:5" x14ac:dyDescent="0.25">
      <c r="A768" s="556"/>
      <c r="B768" s="556"/>
      <c r="C768" s="556"/>
      <c r="D768" s="565"/>
      <c r="E768" s="557"/>
    </row>
    <row r="769" spans="1:5" x14ac:dyDescent="0.25">
      <c r="A769" s="556"/>
      <c r="B769" s="556"/>
      <c r="C769" s="556"/>
      <c r="D769" s="565"/>
      <c r="E769" s="557"/>
    </row>
    <row r="770" spans="1:5" x14ac:dyDescent="0.25">
      <c r="A770" s="558"/>
      <c r="B770" s="556"/>
      <c r="C770" s="556"/>
      <c r="D770" s="565"/>
      <c r="E770" s="557"/>
    </row>
    <row r="771" spans="1:5" x14ac:dyDescent="0.25">
      <c r="A771" s="556"/>
      <c r="B771" s="556"/>
      <c r="C771" s="556"/>
      <c r="D771" s="565"/>
      <c r="E771" s="557"/>
    </row>
    <row r="772" spans="1:5" x14ac:dyDescent="0.25">
      <c r="A772" s="556"/>
      <c r="B772" s="556"/>
      <c r="C772" s="556"/>
      <c r="D772" s="565"/>
      <c r="E772" s="557"/>
    </row>
    <row r="773" spans="1:5" x14ac:dyDescent="0.25">
      <c r="A773" s="559"/>
      <c r="B773" s="559"/>
      <c r="C773" s="559"/>
      <c r="D773" s="559"/>
      <c r="E773" s="561"/>
    </row>
    <row r="774" spans="1:5" x14ac:dyDescent="0.25">
      <c r="A774" s="556"/>
      <c r="B774" s="556"/>
      <c r="C774" s="556"/>
      <c r="D774" s="556"/>
      <c r="E774" s="557"/>
    </row>
    <row r="775" spans="1:5" x14ac:dyDescent="0.25">
      <c r="A775" s="556"/>
      <c r="B775" s="556"/>
      <c r="C775" s="556"/>
      <c r="D775" s="556"/>
      <c r="E775" s="557"/>
    </row>
    <row r="776" spans="1:5" x14ac:dyDescent="0.25">
      <c r="A776" s="556"/>
      <c r="B776" s="556"/>
      <c r="C776" s="556"/>
      <c r="D776" s="556"/>
      <c r="E776" s="557"/>
    </row>
    <row r="777" spans="1:5" x14ac:dyDescent="0.25">
      <c r="A777" s="558"/>
      <c r="B777" s="556"/>
      <c r="C777" s="556"/>
      <c r="D777" s="556"/>
      <c r="E777" s="557"/>
    </row>
    <row r="778" spans="1:5" x14ac:dyDescent="0.25">
      <c r="A778" s="556"/>
      <c r="B778" s="556"/>
      <c r="C778" s="556"/>
      <c r="D778" s="556"/>
      <c r="E778" s="557"/>
    </row>
    <row r="779" spans="1:5" x14ac:dyDescent="0.25">
      <c r="A779" s="556"/>
      <c r="B779" s="556"/>
      <c r="C779" s="556"/>
      <c r="D779" s="556"/>
      <c r="E779" s="557"/>
    </row>
    <row r="780" spans="1:5" x14ac:dyDescent="0.25">
      <c r="A780" s="556"/>
      <c r="B780" s="556"/>
      <c r="C780" s="556"/>
      <c r="D780" s="565"/>
      <c r="E780" s="557"/>
    </row>
    <row r="781" spans="1:5" x14ac:dyDescent="0.25">
      <c r="A781" s="556"/>
      <c r="B781" s="556"/>
      <c r="C781" s="556"/>
      <c r="D781" s="565"/>
      <c r="E781" s="557"/>
    </row>
    <row r="782" spans="1:5" x14ac:dyDescent="0.25">
      <c r="A782" s="556"/>
      <c r="B782" s="556"/>
      <c r="C782" s="556"/>
      <c r="D782" s="565"/>
      <c r="E782" s="557"/>
    </row>
    <row r="783" spans="1:5" x14ac:dyDescent="0.25">
      <c r="A783" s="558"/>
      <c r="B783" s="556"/>
      <c r="C783" s="556"/>
      <c r="D783" s="565"/>
      <c r="E783" s="557"/>
    </row>
    <row r="784" spans="1:5" x14ac:dyDescent="0.25">
      <c r="A784" s="556"/>
      <c r="B784" s="556"/>
      <c r="C784" s="556"/>
      <c r="D784" s="565"/>
      <c r="E784" s="557"/>
    </row>
    <row r="785" spans="1:5" x14ac:dyDescent="0.25">
      <c r="A785" s="556"/>
      <c r="B785" s="556"/>
      <c r="C785" s="556"/>
      <c r="D785" s="565"/>
      <c r="E785" s="557"/>
    </row>
    <row r="786" spans="1:5" x14ac:dyDescent="0.25">
      <c r="A786" s="559"/>
      <c r="B786" s="559"/>
      <c r="C786" s="559"/>
      <c r="D786" s="559"/>
      <c r="E786" s="561"/>
    </row>
    <row r="787" spans="1:5" x14ac:dyDescent="0.25">
      <c r="A787" s="556"/>
      <c r="B787" s="556"/>
      <c r="C787" s="556"/>
      <c r="D787" s="556"/>
      <c r="E787" s="557"/>
    </row>
    <row r="788" spans="1:5" x14ac:dyDescent="0.25">
      <c r="A788" s="556"/>
      <c r="B788" s="556"/>
      <c r="C788" s="556"/>
      <c r="D788" s="556"/>
      <c r="E788" s="557"/>
    </row>
    <row r="789" spans="1:5" x14ac:dyDescent="0.25">
      <c r="A789" s="556"/>
      <c r="B789" s="556"/>
      <c r="C789" s="556"/>
      <c r="D789" s="556"/>
      <c r="E789" s="557"/>
    </row>
    <row r="790" spans="1:5" x14ac:dyDescent="0.25">
      <c r="A790" s="558"/>
      <c r="B790" s="556"/>
      <c r="C790" s="556"/>
      <c r="D790" s="556"/>
      <c r="E790" s="557"/>
    </row>
    <row r="791" spans="1:5" x14ac:dyDescent="0.25">
      <c r="A791" s="556"/>
      <c r="B791" s="556"/>
      <c r="C791" s="556"/>
      <c r="D791" s="556"/>
      <c r="E791" s="557"/>
    </row>
    <row r="792" spans="1:5" x14ac:dyDescent="0.25">
      <c r="A792" s="556"/>
      <c r="B792" s="556"/>
      <c r="C792" s="556"/>
      <c r="D792" s="556"/>
      <c r="E792" s="557"/>
    </row>
    <row r="793" spans="1:5" x14ac:dyDescent="0.25">
      <c r="A793" s="556"/>
      <c r="B793" s="556"/>
      <c r="C793" s="556"/>
      <c r="D793" s="565"/>
      <c r="E793" s="557"/>
    </row>
    <row r="794" spans="1:5" x14ac:dyDescent="0.25">
      <c r="A794" s="556"/>
      <c r="B794" s="556"/>
      <c r="C794" s="556"/>
      <c r="D794" s="565"/>
      <c r="E794" s="557"/>
    </row>
    <row r="795" spans="1:5" x14ac:dyDescent="0.25">
      <c r="A795" s="556"/>
      <c r="B795" s="556"/>
      <c r="C795" s="556"/>
      <c r="D795" s="565"/>
      <c r="E795" s="557"/>
    </row>
    <row r="796" spans="1:5" x14ac:dyDescent="0.25">
      <c r="A796" s="558"/>
      <c r="B796" s="556"/>
      <c r="C796" s="556"/>
      <c r="D796" s="565"/>
      <c r="E796" s="557"/>
    </row>
    <row r="797" spans="1:5" x14ac:dyDescent="0.25">
      <c r="A797" s="556"/>
      <c r="B797" s="556"/>
      <c r="C797" s="556"/>
      <c r="D797" s="565"/>
      <c r="E797" s="557"/>
    </row>
    <row r="798" spans="1:5" x14ac:dyDescent="0.25">
      <c r="A798" s="556"/>
      <c r="B798" s="556"/>
      <c r="C798" s="556"/>
      <c r="D798" s="565"/>
      <c r="E798" s="557"/>
    </row>
    <row r="799" spans="1:5" x14ac:dyDescent="0.25">
      <c r="A799" s="559"/>
      <c r="B799" s="559"/>
      <c r="C799" s="559"/>
      <c r="D799" s="559"/>
      <c r="E799" s="561"/>
    </row>
    <row r="800" spans="1:5" x14ac:dyDescent="0.25">
      <c r="A800" s="556"/>
      <c r="B800" s="556"/>
      <c r="C800" s="556"/>
      <c r="D800" s="556"/>
      <c r="E800" s="557"/>
    </row>
    <row r="801" spans="1:5" x14ac:dyDescent="0.25">
      <c r="A801" s="556"/>
      <c r="B801" s="556"/>
      <c r="C801" s="556"/>
      <c r="D801" s="556"/>
      <c r="E801" s="557"/>
    </row>
    <row r="802" spans="1:5" x14ac:dyDescent="0.25">
      <c r="A802" s="556"/>
      <c r="B802" s="556"/>
      <c r="C802" s="556"/>
      <c r="D802" s="556"/>
      <c r="E802" s="557"/>
    </row>
    <row r="803" spans="1:5" x14ac:dyDescent="0.25">
      <c r="A803" s="558"/>
      <c r="B803" s="556"/>
      <c r="C803" s="556"/>
      <c r="D803" s="556"/>
      <c r="E803" s="557"/>
    </row>
    <row r="804" spans="1:5" x14ac:dyDescent="0.25">
      <c r="A804" s="556"/>
      <c r="B804" s="556"/>
      <c r="C804" s="556"/>
      <c r="D804" s="556"/>
      <c r="E804" s="557"/>
    </row>
    <row r="805" spans="1:5" x14ac:dyDescent="0.25">
      <c r="A805" s="556"/>
      <c r="B805" s="556"/>
      <c r="C805" s="556"/>
      <c r="D805" s="556"/>
      <c r="E805" s="557"/>
    </row>
    <row r="806" spans="1:5" x14ac:dyDescent="0.25">
      <c r="A806" s="556"/>
      <c r="B806" s="556"/>
      <c r="C806" s="556"/>
      <c r="D806" s="565"/>
      <c r="E806" s="557"/>
    </row>
    <row r="807" spans="1:5" x14ac:dyDescent="0.25">
      <c r="A807" s="556"/>
      <c r="B807" s="556"/>
      <c r="C807" s="556"/>
      <c r="D807" s="565"/>
      <c r="E807" s="557"/>
    </row>
    <row r="808" spans="1:5" x14ac:dyDescent="0.25">
      <c r="A808" s="556"/>
      <c r="B808" s="556"/>
      <c r="C808" s="556"/>
      <c r="D808" s="565"/>
      <c r="E808" s="557"/>
    </row>
    <row r="809" spans="1:5" x14ac:dyDescent="0.25">
      <c r="A809" s="558"/>
      <c r="B809" s="556"/>
      <c r="C809" s="556"/>
      <c r="D809" s="565"/>
      <c r="E809" s="557"/>
    </row>
    <row r="810" spans="1:5" x14ac:dyDescent="0.25">
      <c r="A810" s="556"/>
      <c r="B810" s="556"/>
      <c r="C810" s="556"/>
      <c r="D810" s="565"/>
      <c r="E810" s="557"/>
    </row>
    <row r="811" spans="1:5" x14ac:dyDescent="0.25">
      <c r="A811" s="556"/>
      <c r="B811" s="556"/>
      <c r="C811" s="556"/>
      <c r="D811" s="565"/>
      <c r="E811" s="557"/>
    </row>
    <row r="812" spans="1:5" x14ac:dyDescent="0.25">
      <c r="A812" s="559"/>
      <c r="B812" s="559"/>
      <c r="C812" s="559"/>
      <c r="D812" s="559"/>
      <c r="E812" s="561"/>
    </row>
    <row r="813" spans="1:5" x14ac:dyDescent="0.25">
      <c r="A813" s="556"/>
      <c r="B813" s="556"/>
      <c r="C813" s="556"/>
      <c r="D813" s="556"/>
      <c r="E813" s="557"/>
    </row>
    <row r="814" spans="1:5" x14ac:dyDescent="0.25">
      <c r="A814" s="556"/>
      <c r="B814" s="556"/>
      <c r="C814" s="556"/>
      <c r="D814" s="556"/>
      <c r="E814" s="557"/>
    </row>
    <row r="815" spans="1:5" x14ac:dyDescent="0.25">
      <c r="A815" s="556"/>
      <c r="B815" s="556"/>
      <c r="C815" s="556"/>
      <c r="D815" s="556"/>
      <c r="E815" s="557"/>
    </row>
    <row r="816" spans="1:5" x14ac:dyDescent="0.25">
      <c r="A816" s="558"/>
      <c r="B816" s="556"/>
      <c r="C816" s="556"/>
      <c r="D816" s="556"/>
      <c r="E816" s="557"/>
    </row>
    <row r="817" spans="1:5" x14ac:dyDescent="0.25">
      <c r="A817" s="556"/>
      <c r="B817" s="556"/>
      <c r="C817" s="556"/>
      <c r="D817" s="556"/>
      <c r="E817" s="557"/>
    </row>
    <row r="818" spans="1:5" x14ac:dyDescent="0.25">
      <c r="A818" s="556"/>
      <c r="B818" s="556"/>
      <c r="C818" s="556"/>
      <c r="D818" s="556"/>
      <c r="E818" s="557"/>
    </row>
    <row r="819" spans="1:5" x14ac:dyDescent="0.25">
      <c r="A819" s="556"/>
      <c r="B819" s="556"/>
      <c r="C819" s="556"/>
      <c r="D819" s="565"/>
      <c r="E819" s="557"/>
    </row>
    <row r="820" spans="1:5" x14ac:dyDescent="0.25">
      <c r="A820" s="556"/>
      <c r="B820" s="556"/>
      <c r="C820" s="556"/>
      <c r="D820" s="565"/>
      <c r="E820" s="557"/>
    </row>
    <row r="821" spans="1:5" x14ac:dyDescent="0.25">
      <c r="A821" s="556"/>
      <c r="B821" s="556"/>
      <c r="C821" s="556"/>
      <c r="D821" s="565"/>
      <c r="E821" s="557"/>
    </row>
    <row r="822" spans="1:5" x14ac:dyDescent="0.25">
      <c r="A822" s="558"/>
      <c r="B822" s="556"/>
      <c r="C822" s="556"/>
      <c r="D822" s="565"/>
      <c r="E822" s="557"/>
    </row>
    <row r="823" spans="1:5" x14ac:dyDescent="0.25">
      <c r="A823" s="556"/>
      <c r="B823" s="556"/>
      <c r="C823" s="556"/>
      <c r="D823" s="565"/>
      <c r="E823" s="557"/>
    </row>
    <row r="824" spans="1:5" x14ac:dyDescent="0.25">
      <c r="A824" s="556"/>
      <c r="B824" s="556"/>
      <c r="C824" s="556"/>
      <c r="D824" s="565"/>
      <c r="E824" s="557"/>
    </row>
    <row r="825" spans="1:5" x14ac:dyDescent="0.25">
      <c r="A825" s="559"/>
      <c r="B825" s="559"/>
      <c r="C825" s="559"/>
      <c r="D825" s="559"/>
      <c r="E825" s="561"/>
    </row>
    <row r="826" spans="1:5" x14ac:dyDescent="0.25">
      <c r="A826" s="556"/>
      <c r="B826" s="556"/>
      <c r="C826" s="556"/>
      <c r="D826" s="556"/>
      <c r="E826" s="557"/>
    </row>
    <row r="827" spans="1:5" x14ac:dyDescent="0.25">
      <c r="A827" s="556"/>
      <c r="B827" s="556"/>
      <c r="C827" s="556"/>
      <c r="D827" s="556"/>
      <c r="E827" s="557"/>
    </row>
    <row r="828" spans="1:5" x14ac:dyDescent="0.25">
      <c r="A828" s="556"/>
      <c r="B828" s="556"/>
      <c r="C828" s="556"/>
      <c r="D828" s="556"/>
      <c r="E828" s="557"/>
    </row>
    <row r="829" spans="1:5" x14ac:dyDescent="0.25">
      <c r="A829" s="558"/>
      <c r="B829" s="556"/>
      <c r="C829" s="556"/>
      <c r="D829" s="556"/>
      <c r="E829" s="557"/>
    </row>
    <row r="830" spans="1:5" x14ac:dyDescent="0.25">
      <c r="A830" s="556"/>
      <c r="B830" s="556"/>
      <c r="C830" s="556"/>
      <c r="D830" s="556"/>
      <c r="E830" s="557"/>
    </row>
    <row r="831" spans="1:5" x14ac:dyDescent="0.25">
      <c r="A831" s="556"/>
      <c r="B831" s="556"/>
      <c r="C831" s="556"/>
      <c r="D831" s="556"/>
      <c r="E831" s="557"/>
    </row>
    <row r="832" spans="1:5" x14ac:dyDescent="0.25">
      <c r="A832" s="556"/>
      <c r="B832" s="556"/>
      <c r="C832" s="556"/>
      <c r="D832" s="565"/>
      <c r="E832" s="557"/>
    </row>
    <row r="833" spans="1:5" x14ac:dyDescent="0.25">
      <c r="A833" s="556"/>
      <c r="B833" s="556"/>
      <c r="C833" s="556"/>
      <c r="D833" s="565"/>
      <c r="E833" s="557"/>
    </row>
    <row r="834" spans="1:5" x14ac:dyDescent="0.25">
      <c r="A834" s="556"/>
      <c r="B834" s="556"/>
      <c r="C834" s="556"/>
      <c r="D834" s="565"/>
      <c r="E834" s="557"/>
    </row>
    <row r="835" spans="1:5" x14ac:dyDescent="0.25">
      <c r="A835" s="558"/>
      <c r="B835" s="556"/>
      <c r="C835" s="556"/>
      <c r="D835" s="565"/>
      <c r="E835" s="557"/>
    </row>
    <row r="836" spans="1:5" x14ac:dyDescent="0.25">
      <c r="A836" s="556"/>
      <c r="B836" s="556"/>
      <c r="C836" s="556"/>
      <c r="D836" s="565"/>
      <c r="E836" s="557"/>
    </row>
    <row r="837" spans="1:5" x14ac:dyDescent="0.25">
      <c r="A837" s="556"/>
      <c r="B837" s="556"/>
      <c r="C837" s="556"/>
      <c r="D837" s="565"/>
      <c r="E837" s="557"/>
    </row>
    <row r="838" spans="1:5" x14ac:dyDescent="0.25">
      <c r="A838" s="559"/>
      <c r="B838" s="559"/>
      <c r="C838" s="559"/>
      <c r="D838" s="559"/>
      <c r="E838" s="561"/>
    </row>
    <row r="839" spans="1:5" x14ac:dyDescent="0.25">
      <c r="A839" s="556"/>
      <c r="B839" s="556"/>
      <c r="C839" s="556"/>
      <c r="D839" s="556"/>
      <c r="E839" s="557"/>
    </row>
    <row r="840" spans="1:5" x14ac:dyDescent="0.25">
      <c r="A840" s="556"/>
      <c r="B840" s="556"/>
      <c r="C840" s="556"/>
      <c r="D840" s="556"/>
      <c r="E840" s="557"/>
    </row>
    <row r="841" spans="1:5" x14ac:dyDescent="0.25">
      <c r="A841" s="556"/>
      <c r="B841" s="556"/>
      <c r="C841" s="556"/>
      <c r="D841" s="556"/>
      <c r="E841" s="557"/>
    </row>
    <row r="842" spans="1:5" x14ac:dyDescent="0.25">
      <c r="A842" s="558"/>
      <c r="B842" s="556"/>
      <c r="C842" s="556"/>
      <c r="D842" s="556"/>
      <c r="E842" s="557"/>
    </row>
    <row r="843" spans="1:5" x14ac:dyDescent="0.25">
      <c r="A843" s="556"/>
      <c r="B843" s="556"/>
      <c r="C843" s="556"/>
      <c r="D843" s="556"/>
      <c r="E843" s="557"/>
    </row>
    <row r="844" spans="1:5" x14ac:dyDescent="0.25">
      <c r="A844" s="556"/>
      <c r="B844" s="556"/>
      <c r="C844" s="556"/>
      <c r="D844" s="556"/>
      <c r="E844" s="557"/>
    </row>
    <row r="845" spans="1:5" x14ac:dyDescent="0.25">
      <c r="A845" s="556"/>
      <c r="B845" s="556"/>
      <c r="C845" s="556"/>
      <c r="D845" s="565"/>
      <c r="E845" s="557"/>
    </row>
    <row r="846" spans="1:5" x14ac:dyDescent="0.25">
      <c r="A846" s="556"/>
      <c r="B846" s="556"/>
      <c r="C846" s="556"/>
      <c r="D846" s="565"/>
      <c r="E846" s="557"/>
    </row>
    <row r="847" spans="1:5" x14ac:dyDescent="0.25">
      <c r="A847" s="556"/>
      <c r="B847" s="556"/>
      <c r="C847" s="556"/>
      <c r="D847" s="565"/>
      <c r="E847" s="557"/>
    </row>
    <row r="848" spans="1:5" x14ac:dyDescent="0.25">
      <c r="A848" s="558"/>
      <c r="B848" s="556"/>
      <c r="C848" s="556"/>
      <c r="D848" s="565"/>
      <c r="E848" s="557"/>
    </row>
    <row r="849" spans="1:5" x14ac:dyDescent="0.25">
      <c r="A849" s="556"/>
      <c r="B849" s="556"/>
      <c r="C849" s="556"/>
      <c r="D849" s="565"/>
      <c r="E849" s="557"/>
    </row>
    <row r="850" spans="1:5" x14ac:dyDescent="0.25">
      <c r="A850" s="556"/>
      <c r="B850" s="556"/>
      <c r="C850" s="556"/>
      <c r="D850" s="565"/>
      <c r="E850" s="557"/>
    </row>
    <row r="851" spans="1:5" x14ac:dyDescent="0.25">
      <c r="A851" s="559"/>
      <c r="B851" s="559"/>
      <c r="C851" s="559"/>
      <c r="D851" s="559"/>
      <c r="E851" s="561"/>
    </row>
    <row r="852" spans="1:5" x14ac:dyDescent="0.25">
      <c r="A852" s="556"/>
      <c r="B852" s="556"/>
      <c r="C852" s="556"/>
      <c r="D852" s="556"/>
      <c r="E852" s="557"/>
    </row>
    <row r="853" spans="1:5" x14ac:dyDescent="0.25">
      <c r="A853" s="556"/>
      <c r="B853" s="556"/>
      <c r="C853" s="556"/>
      <c r="D853" s="556"/>
      <c r="E853" s="557"/>
    </row>
    <row r="854" spans="1:5" x14ac:dyDescent="0.25">
      <c r="A854" s="556"/>
      <c r="B854" s="556"/>
      <c r="C854" s="556"/>
      <c r="D854" s="556"/>
      <c r="E854" s="557"/>
    </row>
    <row r="855" spans="1:5" x14ac:dyDescent="0.25">
      <c r="A855" s="558"/>
      <c r="B855" s="556"/>
      <c r="C855" s="556"/>
      <c r="D855" s="556"/>
      <c r="E855" s="557"/>
    </row>
    <row r="856" spans="1:5" x14ac:dyDescent="0.25">
      <c r="A856" s="556"/>
      <c r="B856" s="556"/>
      <c r="C856" s="556"/>
      <c r="D856" s="556"/>
      <c r="E856" s="557"/>
    </row>
    <row r="857" spans="1:5" x14ac:dyDescent="0.25">
      <c r="A857" s="556"/>
      <c r="B857" s="556"/>
      <c r="C857" s="556"/>
      <c r="D857" s="556"/>
      <c r="E857" s="557"/>
    </row>
    <row r="858" spans="1:5" x14ac:dyDescent="0.25">
      <c r="A858" s="556"/>
      <c r="B858" s="556"/>
      <c r="C858" s="556"/>
      <c r="D858" s="565"/>
      <c r="E858" s="557"/>
    </row>
    <row r="859" spans="1:5" x14ac:dyDescent="0.25">
      <c r="A859" s="556"/>
      <c r="B859" s="556"/>
      <c r="C859" s="556"/>
      <c r="D859" s="565"/>
      <c r="E859" s="557"/>
    </row>
    <row r="860" spans="1:5" x14ac:dyDescent="0.25">
      <c r="A860" s="556"/>
      <c r="B860" s="556"/>
      <c r="C860" s="556"/>
      <c r="D860" s="565"/>
      <c r="E860" s="557"/>
    </row>
    <row r="861" spans="1:5" x14ac:dyDescent="0.25">
      <c r="A861" s="558"/>
      <c r="B861" s="556"/>
      <c r="C861" s="556"/>
      <c r="D861" s="565"/>
      <c r="E861" s="557"/>
    </row>
    <row r="862" spans="1:5" x14ac:dyDescent="0.25">
      <c r="A862" s="556"/>
      <c r="B862" s="556"/>
      <c r="C862" s="556"/>
      <c r="D862" s="565"/>
      <c r="E862" s="557"/>
    </row>
    <row r="863" spans="1:5" x14ac:dyDescent="0.25">
      <c r="A863" s="556"/>
      <c r="B863" s="556"/>
      <c r="C863" s="556"/>
      <c r="D863" s="565"/>
      <c r="E863" s="557"/>
    </row>
    <row r="864" spans="1:5" x14ac:dyDescent="0.25">
      <c r="A864" s="559"/>
      <c r="B864" s="559"/>
      <c r="C864" s="559"/>
      <c r="D864" s="559"/>
      <c r="E864" s="561"/>
    </row>
    <row r="865" spans="1:5" x14ac:dyDescent="0.25">
      <c r="A865" s="556"/>
      <c r="B865" s="556"/>
      <c r="C865" s="556"/>
      <c r="D865" s="556"/>
      <c r="E865" s="557"/>
    </row>
    <row r="866" spans="1:5" x14ac:dyDescent="0.25">
      <c r="A866" s="556"/>
      <c r="B866" s="556"/>
      <c r="C866" s="556"/>
      <c r="D866" s="556"/>
      <c r="E866" s="557"/>
    </row>
    <row r="867" spans="1:5" x14ac:dyDescent="0.25">
      <c r="A867" s="556"/>
      <c r="B867" s="556"/>
      <c r="C867" s="556"/>
      <c r="D867" s="556"/>
      <c r="E867" s="557"/>
    </row>
    <row r="868" spans="1:5" x14ac:dyDescent="0.25">
      <c r="A868" s="558"/>
      <c r="B868" s="556"/>
      <c r="C868" s="556"/>
      <c r="D868" s="556"/>
      <c r="E868" s="557"/>
    </row>
    <row r="869" spans="1:5" x14ac:dyDescent="0.25">
      <c r="A869" s="556"/>
      <c r="B869" s="556"/>
      <c r="C869" s="556"/>
      <c r="D869" s="556"/>
      <c r="E869" s="557"/>
    </row>
    <row r="870" spans="1:5" x14ac:dyDescent="0.25">
      <c r="A870" s="556"/>
      <c r="B870" s="556"/>
      <c r="C870" s="556"/>
      <c r="D870" s="556"/>
      <c r="E870" s="557"/>
    </row>
    <row r="871" spans="1:5" x14ac:dyDescent="0.25">
      <c r="A871" s="556"/>
      <c r="B871" s="556"/>
      <c r="C871" s="556"/>
      <c r="D871" s="565"/>
      <c r="E871" s="557"/>
    </row>
    <row r="872" spans="1:5" x14ac:dyDescent="0.25">
      <c r="A872" s="556"/>
      <c r="B872" s="556"/>
      <c r="C872" s="556"/>
      <c r="D872" s="565"/>
      <c r="E872" s="557"/>
    </row>
    <row r="873" spans="1:5" x14ac:dyDescent="0.25">
      <c r="A873" s="556"/>
      <c r="B873" s="556"/>
      <c r="C873" s="556"/>
      <c r="D873" s="565"/>
      <c r="E873" s="557"/>
    </row>
    <row r="874" spans="1:5" x14ac:dyDescent="0.25">
      <c r="A874" s="558"/>
      <c r="B874" s="556"/>
      <c r="C874" s="556"/>
      <c r="D874" s="565"/>
      <c r="E874" s="557"/>
    </row>
    <row r="875" spans="1:5" x14ac:dyDescent="0.25">
      <c r="A875" s="556"/>
      <c r="B875" s="556"/>
      <c r="C875" s="556"/>
      <c r="D875" s="565"/>
      <c r="E875" s="557"/>
    </row>
    <row r="876" spans="1:5" x14ac:dyDescent="0.25">
      <c r="A876" s="556"/>
      <c r="B876" s="556"/>
      <c r="C876" s="556"/>
      <c r="D876" s="565"/>
      <c r="E876" s="557"/>
    </row>
    <row r="877" spans="1:5" x14ac:dyDescent="0.25">
      <c r="A877" s="559"/>
      <c r="B877" s="559"/>
      <c r="C877" s="559"/>
      <c r="D877" s="559"/>
      <c r="E877" s="561"/>
    </row>
    <row r="878" spans="1:5" x14ac:dyDescent="0.25">
      <c r="A878" s="556"/>
      <c r="B878" s="556"/>
      <c r="C878" s="556"/>
      <c r="D878" s="556"/>
      <c r="E878" s="557"/>
    </row>
    <row r="879" spans="1:5" x14ac:dyDescent="0.25">
      <c r="A879" s="556"/>
      <c r="B879" s="556"/>
      <c r="C879" s="556"/>
      <c r="D879" s="556"/>
      <c r="E879" s="557"/>
    </row>
    <row r="880" spans="1:5" x14ac:dyDescent="0.25">
      <c r="A880" s="556"/>
      <c r="B880" s="556"/>
      <c r="C880" s="556"/>
      <c r="D880" s="556"/>
      <c r="E880" s="557"/>
    </row>
    <row r="881" spans="1:5" x14ac:dyDescent="0.25">
      <c r="A881" s="558"/>
      <c r="B881" s="556"/>
      <c r="C881" s="556"/>
      <c r="D881" s="556"/>
      <c r="E881" s="557"/>
    </row>
    <row r="882" spans="1:5" x14ac:dyDescent="0.25">
      <c r="A882" s="556"/>
      <c r="B882" s="556"/>
      <c r="C882" s="556"/>
      <c r="D882" s="556"/>
      <c r="E882" s="557"/>
    </row>
    <row r="883" spans="1:5" x14ac:dyDescent="0.25">
      <c r="A883" s="556"/>
      <c r="B883" s="556"/>
      <c r="C883" s="556"/>
      <c r="D883" s="556"/>
      <c r="E883" s="557"/>
    </row>
    <row r="884" spans="1:5" x14ac:dyDescent="0.25">
      <c r="A884" s="556"/>
      <c r="B884" s="556"/>
      <c r="C884" s="556"/>
      <c r="D884" s="565"/>
      <c r="E884" s="557"/>
    </row>
    <row r="885" spans="1:5" x14ac:dyDescent="0.25">
      <c r="A885" s="556"/>
      <c r="B885" s="556"/>
      <c r="C885" s="556"/>
      <c r="D885" s="565"/>
      <c r="E885" s="557"/>
    </row>
    <row r="886" spans="1:5" x14ac:dyDescent="0.25">
      <c r="A886" s="556"/>
      <c r="B886" s="556"/>
      <c r="C886" s="556"/>
      <c r="D886" s="565"/>
      <c r="E886" s="557"/>
    </row>
    <row r="887" spans="1:5" x14ac:dyDescent="0.25">
      <c r="A887" s="558"/>
      <c r="B887" s="556"/>
      <c r="C887" s="556"/>
      <c r="D887" s="565"/>
      <c r="E887" s="557"/>
    </row>
    <row r="888" spans="1:5" x14ac:dyDescent="0.25">
      <c r="A888" s="556"/>
      <c r="B888" s="556"/>
      <c r="C888" s="556"/>
      <c r="D888" s="565"/>
      <c r="E888" s="557"/>
    </row>
    <row r="889" spans="1:5" x14ac:dyDescent="0.25">
      <c r="A889" s="556"/>
      <c r="B889" s="556"/>
      <c r="C889" s="556"/>
      <c r="D889" s="565"/>
      <c r="E889" s="557"/>
    </row>
    <row r="890" spans="1:5" x14ac:dyDescent="0.25">
      <c r="A890" s="559"/>
      <c r="B890" s="559"/>
      <c r="C890" s="559"/>
      <c r="D890" s="559"/>
      <c r="E890" s="561"/>
    </row>
    <row r="891" spans="1:5" x14ac:dyDescent="0.25">
      <c r="A891" s="556"/>
      <c r="B891" s="556"/>
      <c r="C891" s="556"/>
      <c r="D891" s="556"/>
      <c r="E891" s="557"/>
    </row>
    <row r="892" spans="1:5" x14ac:dyDescent="0.25">
      <c r="A892" s="556"/>
      <c r="B892" s="556"/>
      <c r="C892" s="556"/>
      <c r="D892" s="556"/>
      <c r="E892" s="557"/>
    </row>
    <row r="893" spans="1:5" x14ac:dyDescent="0.25">
      <c r="A893" s="556"/>
      <c r="B893" s="556"/>
      <c r="C893" s="556"/>
      <c r="D893" s="556"/>
      <c r="E893" s="557"/>
    </row>
    <row r="894" spans="1:5" x14ac:dyDescent="0.25">
      <c r="A894" s="558"/>
      <c r="B894" s="556"/>
      <c r="C894" s="556"/>
      <c r="D894" s="556"/>
      <c r="E894" s="557"/>
    </row>
    <row r="895" spans="1:5" x14ac:dyDescent="0.25">
      <c r="A895" s="556"/>
      <c r="B895" s="556"/>
      <c r="C895" s="556"/>
      <c r="D895" s="556"/>
      <c r="E895" s="557"/>
    </row>
    <row r="896" spans="1:5" x14ac:dyDescent="0.25">
      <c r="A896" s="556"/>
      <c r="B896" s="556"/>
      <c r="C896" s="556"/>
      <c r="D896" s="556"/>
      <c r="E896" s="557"/>
    </row>
    <row r="897" spans="1:5" x14ac:dyDescent="0.25">
      <c r="A897" s="556"/>
      <c r="B897" s="556"/>
      <c r="C897" s="556"/>
      <c r="D897" s="565"/>
      <c r="E897" s="557"/>
    </row>
    <row r="898" spans="1:5" x14ac:dyDescent="0.25">
      <c r="A898" s="556"/>
      <c r="B898" s="556"/>
      <c r="C898" s="556"/>
      <c r="D898" s="565"/>
      <c r="E898" s="557"/>
    </row>
    <row r="899" spans="1:5" x14ac:dyDescent="0.25">
      <c r="A899" s="556"/>
      <c r="B899" s="556"/>
      <c r="C899" s="556"/>
      <c r="D899" s="565"/>
      <c r="E899" s="557"/>
    </row>
    <row r="900" spans="1:5" x14ac:dyDescent="0.25">
      <c r="A900" s="558"/>
      <c r="B900" s="556"/>
      <c r="C900" s="556"/>
      <c r="D900" s="565"/>
      <c r="E900" s="557"/>
    </row>
    <row r="901" spans="1:5" x14ac:dyDescent="0.25">
      <c r="A901" s="556"/>
      <c r="B901" s="556"/>
      <c r="C901" s="556"/>
      <c r="D901" s="565"/>
      <c r="E901" s="557"/>
    </row>
    <row r="902" spans="1:5" x14ac:dyDescent="0.25">
      <c r="A902" s="556"/>
      <c r="B902" s="556"/>
      <c r="C902" s="556"/>
      <c r="D902" s="565"/>
      <c r="E902" s="557"/>
    </row>
    <row r="903" spans="1:5" x14ac:dyDescent="0.25">
      <c r="A903" s="559"/>
      <c r="B903" s="559"/>
      <c r="C903" s="559"/>
      <c r="D903" s="559"/>
      <c r="E903" s="561"/>
    </row>
    <row r="904" spans="1:5" x14ac:dyDescent="0.25">
      <c r="A904" s="567"/>
      <c r="B904" s="567"/>
      <c r="C904" s="567"/>
      <c r="D904" s="567"/>
      <c r="E904" s="568"/>
    </row>
    <row r="905" spans="1:5" x14ac:dyDescent="0.25">
      <c r="A905" s="556"/>
      <c r="B905" s="556"/>
      <c r="C905" s="556"/>
      <c r="D905" s="556"/>
      <c r="E905" s="557"/>
    </row>
    <row r="906" spans="1:5" x14ac:dyDescent="0.25">
      <c r="A906" s="556"/>
      <c r="B906" s="556"/>
      <c r="C906" s="556"/>
      <c r="D906" s="556"/>
      <c r="E906" s="557"/>
    </row>
    <row r="907" spans="1:5" x14ac:dyDescent="0.25">
      <c r="A907" s="556"/>
      <c r="B907" s="556"/>
      <c r="C907" s="556"/>
      <c r="D907" s="556"/>
      <c r="E907" s="557"/>
    </row>
    <row r="908" spans="1:5" x14ac:dyDescent="0.25">
      <c r="A908" s="556"/>
      <c r="B908" s="558"/>
      <c r="C908" s="556"/>
      <c r="D908" s="556"/>
      <c r="E908" s="557"/>
    </row>
    <row r="909" spans="1:5" x14ac:dyDescent="0.25">
      <c r="A909" s="556"/>
      <c r="B909" s="558"/>
      <c r="C909" s="556"/>
      <c r="D909" s="556"/>
      <c r="E909" s="557"/>
    </row>
    <row r="910" spans="1:5" x14ac:dyDescent="0.25">
      <c r="A910" s="556"/>
      <c r="B910" s="558"/>
      <c r="C910" s="556"/>
      <c r="D910" s="556"/>
      <c r="E910" s="557"/>
    </row>
    <row r="911" spans="1:5" x14ac:dyDescent="0.25">
      <c r="A911" s="556"/>
      <c r="B911" s="558"/>
      <c r="C911" s="556"/>
      <c r="D911" s="556"/>
      <c r="E911" s="557"/>
    </row>
    <row r="912" spans="1:5" x14ac:dyDescent="0.25">
      <c r="A912" s="556"/>
      <c r="B912" s="558"/>
      <c r="C912" s="556"/>
      <c r="D912" s="556"/>
      <c r="E912" s="557"/>
    </row>
    <row r="913" spans="1:5" x14ac:dyDescent="0.25">
      <c r="A913" s="556"/>
      <c r="B913" s="558"/>
      <c r="C913" s="556"/>
      <c r="D913" s="556"/>
      <c r="E913" s="557"/>
    </row>
    <row r="914" spans="1:5" x14ac:dyDescent="0.25">
      <c r="A914" s="556"/>
      <c r="B914" s="558"/>
      <c r="C914" s="556"/>
      <c r="D914" s="556"/>
      <c r="E914" s="557"/>
    </row>
    <row r="915" spans="1:5" x14ac:dyDescent="0.25">
      <c r="A915" s="556"/>
      <c r="B915" s="558"/>
      <c r="C915" s="556"/>
      <c r="D915" s="556"/>
      <c r="E915" s="557"/>
    </row>
    <row r="916" spans="1:5" x14ac:dyDescent="0.25">
      <c r="A916" s="556"/>
      <c r="B916" s="558"/>
      <c r="C916" s="556"/>
      <c r="D916" s="556"/>
      <c r="E916" s="557"/>
    </row>
    <row r="917" spans="1:5" x14ac:dyDescent="0.25">
      <c r="A917" s="559"/>
      <c r="B917" s="559"/>
      <c r="C917" s="559"/>
      <c r="D917" s="559"/>
      <c r="E917" s="561"/>
    </row>
    <row r="918" spans="1:5" x14ac:dyDescent="0.25">
      <c r="A918" s="556"/>
      <c r="B918" s="556"/>
      <c r="C918" s="556"/>
      <c r="D918" s="556"/>
      <c r="E918" s="557"/>
    </row>
    <row r="919" spans="1:5" x14ac:dyDescent="0.25">
      <c r="A919" s="556"/>
      <c r="B919" s="556"/>
      <c r="C919" s="556"/>
      <c r="D919" s="556"/>
      <c r="E919" s="557"/>
    </row>
    <row r="920" spans="1:5" x14ac:dyDescent="0.25">
      <c r="A920" s="556"/>
      <c r="B920" s="556"/>
      <c r="C920" s="556"/>
      <c r="D920" s="556"/>
      <c r="E920" s="557"/>
    </row>
    <row r="921" spans="1:5" x14ac:dyDescent="0.25">
      <c r="A921" s="556"/>
      <c r="B921" s="558"/>
      <c r="C921" s="556"/>
      <c r="D921" s="556"/>
      <c r="E921" s="557"/>
    </row>
    <row r="922" spans="1:5" x14ac:dyDescent="0.25">
      <c r="A922" s="556"/>
      <c r="B922" s="558"/>
      <c r="C922" s="556"/>
      <c r="D922" s="556"/>
      <c r="E922" s="557"/>
    </row>
    <row r="923" spans="1:5" x14ac:dyDescent="0.25">
      <c r="A923" s="556"/>
      <c r="B923" s="558"/>
      <c r="C923" s="556"/>
      <c r="D923" s="556"/>
      <c r="E923" s="557"/>
    </row>
    <row r="924" spans="1:5" x14ac:dyDescent="0.25">
      <c r="A924" s="556"/>
      <c r="B924" s="558"/>
      <c r="C924" s="556"/>
      <c r="D924" s="556"/>
      <c r="E924" s="557"/>
    </row>
    <row r="925" spans="1:5" x14ac:dyDescent="0.25">
      <c r="A925" s="556"/>
      <c r="B925" s="558"/>
      <c r="C925" s="556"/>
      <c r="D925" s="556"/>
      <c r="E925" s="557"/>
    </row>
    <row r="926" spans="1:5" x14ac:dyDescent="0.25">
      <c r="A926" s="556"/>
      <c r="B926" s="558"/>
      <c r="C926" s="556"/>
      <c r="D926" s="556"/>
      <c r="E926" s="557"/>
    </row>
    <row r="927" spans="1:5" x14ac:dyDescent="0.25">
      <c r="A927" s="556"/>
      <c r="B927" s="558"/>
      <c r="C927" s="556"/>
      <c r="D927" s="556"/>
      <c r="E927" s="557"/>
    </row>
    <row r="928" spans="1:5" x14ac:dyDescent="0.25">
      <c r="A928" s="556"/>
      <c r="B928" s="558"/>
      <c r="C928" s="556"/>
      <c r="D928" s="556"/>
      <c r="E928" s="557"/>
    </row>
    <row r="929" spans="1:5" x14ac:dyDescent="0.25">
      <c r="A929" s="556"/>
      <c r="B929" s="558"/>
      <c r="C929" s="556"/>
      <c r="D929" s="556"/>
      <c r="E929" s="557"/>
    </row>
    <row r="930" spans="1:5" x14ac:dyDescent="0.25">
      <c r="A930" s="559"/>
      <c r="B930" s="559"/>
      <c r="C930" s="559"/>
      <c r="D930" s="559"/>
      <c r="E930" s="561"/>
    </row>
    <row r="931" spans="1:5" x14ac:dyDescent="0.25">
      <c r="A931" s="556"/>
      <c r="B931" s="556"/>
      <c r="C931" s="556"/>
      <c r="D931" s="556"/>
      <c r="E931" s="557"/>
    </row>
    <row r="932" spans="1:5" x14ac:dyDescent="0.25">
      <c r="A932" s="556"/>
      <c r="B932" s="556"/>
      <c r="C932" s="556"/>
      <c r="D932" s="556"/>
      <c r="E932" s="557"/>
    </row>
    <row r="933" spans="1:5" x14ac:dyDescent="0.25">
      <c r="A933" s="556"/>
      <c r="B933" s="556"/>
      <c r="C933" s="556"/>
      <c r="D933" s="556"/>
      <c r="E933" s="557"/>
    </row>
    <row r="934" spans="1:5" x14ac:dyDescent="0.25">
      <c r="A934" s="556"/>
      <c r="B934" s="558"/>
      <c r="C934" s="556"/>
      <c r="D934" s="556"/>
      <c r="E934" s="557"/>
    </row>
    <row r="935" spans="1:5" x14ac:dyDescent="0.25">
      <c r="A935" s="556"/>
      <c r="B935" s="558"/>
      <c r="C935" s="556"/>
      <c r="D935" s="556"/>
      <c r="E935" s="557"/>
    </row>
    <row r="936" spans="1:5" x14ac:dyDescent="0.25">
      <c r="A936" s="556"/>
      <c r="B936" s="558"/>
      <c r="C936" s="556"/>
      <c r="D936" s="556"/>
      <c r="E936" s="557"/>
    </row>
    <row r="937" spans="1:5" x14ac:dyDescent="0.25">
      <c r="A937" s="556"/>
      <c r="B937" s="558"/>
      <c r="C937" s="556"/>
      <c r="D937" s="556"/>
      <c r="E937" s="557"/>
    </row>
    <row r="938" spans="1:5" x14ac:dyDescent="0.25">
      <c r="A938" s="556"/>
      <c r="B938" s="558"/>
      <c r="C938" s="556"/>
      <c r="D938" s="556"/>
      <c r="E938" s="557"/>
    </row>
    <row r="939" spans="1:5" x14ac:dyDescent="0.25">
      <c r="A939" s="556"/>
      <c r="B939" s="558"/>
      <c r="C939" s="556"/>
      <c r="D939" s="556"/>
      <c r="E939" s="557"/>
    </row>
    <row r="940" spans="1:5" x14ac:dyDescent="0.25">
      <c r="A940" s="556"/>
      <c r="B940" s="558"/>
      <c r="C940" s="556"/>
      <c r="D940" s="556"/>
      <c r="E940" s="557"/>
    </row>
    <row r="941" spans="1:5" x14ac:dyDescent="0.25">
      <c r="A941" s="556"/>
      <c r="B941" s="558"/>
      <c r="C941" s="556"/>
      <c r="D941" s="556"/>
      <c r="E941" s="557"/>
    </row>
    <row r="942" spans="1:5" x14ac:dyDescent="0.25">
      <c r="A942" s="556"/>
      <c r="B942" s="558"/>
      <c r="C942" s="556"/>
      <c r="D942" s="556"/>
      <c r="E942" s="557"/>
    </row>
    <row r="943" spans="1:5" x14ac:dyDescent="0.25">
      <c r="A943" s="559"/>
      <c r="B943" s="559"/>
      <c r="C943" s="559"/>
      <c r="D943" s="559"/>
      <c r="E943" s="561"/>
    </row>
    <row r="944" spans="1:5" x14ac:dyDescent="0.25">
      <c r="A944" s="567"/>
      <c r="B944" s="567"/>
      <c r="C944" s="567"/>
      <c r="D944" s="567"/>
      <c r="E944" s="568"/>
    </row>
    <row r="945" spans="1:5" x14ac:dyDescent="0.25">
      <c r="A945" s="556" t="s">
        <v>1010</v>
      </c>
      <c r="B945" s="556" t="s">
        <v>1010</v>
      </c>
      <c r="C945" s="556">
        <v>1000</v>
      </c>
      <c r="D945" s="565">
        <v>6810</v>
      </c>
      <c r="E945" s="557">
        <f>SUMIFS('Accounting data'!$G$2:$G$37003,'Accounting data'!$J$2:$J$37003,"1*",'Accounting data'!$K$2:$K$37003,"681*")</f>
        <v>1200</v>
      </c>
    </row>
    <row r="946" spans="1:5" x14ac:dyDescent="0.25">
      <c r="A946" s="556" t="s">
        <v>1011</v>
      </c>
      <c r="B946" s="556" t="s">
        <v>1010</v>
      </c>
      <c r="C946" s="556">
        <v>1000</v>
      </c>
      <c r="D946" s="565">
        <v>6810</v>
      </c>
      <c r="E946" s="557">
        <f>SUMIFS('Accounting data'!$G$2:$G$37003,'Accounting data'!$H$2:$H$37003,"9999*",'Accounting data'!$J$2:$J$37003,"1*",'Accounting data'!$K$2:$K$37003,"681*")</f>
        <v>0</v>
      </c>
    </row>
    <row r="947" spans="1:5" x14ac:dyDescent="0.25">
      <c r="A947" s="556" t="s">
        <v>1010</v>
      </c>
      <c r="B947" s="556" t="s">
        <v>1012</v>
      </c>
      <c r="C947" s="556">
        <v>1000</v>
      </c>
      <c r="D947" s="565">
        <v>6810</v>
      </c>
      <c r="E947" s="557">
        <f>SUMIFS('Accounting data'!$G$2:$G$37003,'Accounting data'!$I$2:$I$37003,"7*",'Accounting data'!$J$2:$J$37003,"1*",'Accounting data'!$K$2:$K$37003,"681*")+SUMIFS('Accounting data'!$G$2:$G$37003,'Accounting data'!$I$2:$I$37003,"8*",'Accounting data'!$J$2:$J$37003,"1*",'Accounting data'!$K$2:$K$37003,"681*")+SUMIFS('Accounting data'!$G$2:$G$37003,'Accounting data'!$I$2:$I$37003,"9*",'Accounting data'!$J$2:$J$37003,"1*",'Accounting data'!$K$2:$K$37003,"681*")</f>
        <v>0</v>
      </c>
    </row>
    <row r="948" spans="1:5" x14ac:dyDescent="0.25">
      <c r="A948" s="558" t="s">
        <v>1011</v>
      </c>
      <c r="B948" s="556" t="s">
        <v>1012</v>
      </c>
      <c r="C948" s="556">
        <v>1000</v>
      </c>
      <c r="D948" s="565">
        <v>6810</v>
      </c>
      <c r="E948" s="557">
        <f>SUMIFS('Accounting data'!$G$2:$G$37003,'Accounting data'!$H$2:$H$37003,"9999*",'Accounting data'!$I$2:$I$37003,"7*",'Accounting data'!$J$2:$J$37003,"1*",'Accounting data'!$K$2:$K$37003,"681*")+SUMIFS('Accounting data'!$G$2:$G$37003,'Accounting data'!$H$2:$H$37003,"9999*",'Accounting data'!$I$2:$I$37003,"8*",'Accounting data'!$J$2:$J$37003,"1*",'Accounting data'!$K$2:$K$37003,"681*")+SUMIFS('Accounting data'!$G$2:$G$37003,'Accounting data'!$H$2:$H$37003,"9999*",'Accounting data'!$I$2:$I$37003,"9*",'Accounting data'!$J$2:$J$37003,"1*",'Accounting data'!$K$2:$K$37003,"681*")</f>
        <v>0</v>
      </c>
    </row>
    <row r="949" spans="1:5" x14ac:dyDescent="0.25">
      <c r="A949" s="556"/>
      <c r="B949" s="556"/>
      <c r="C949" s="556"/>
      <c r="D949" s="565"/>
      <c r="E949" s="557"/>
    </row>
    <row r="950" spans="1:5" x14ac:dyDescent="0.25">
      <c r="A950" s="556"/>
      <c r="B950" s="556"/>
      <c r="C950" s="556"/>
      <c r="D950" s="565"/>
      <c r="E950" s="557"/>
    </row>
    <row r="951" spans="1:5" x14ac:dyDescent="0.25">
      <c r="A951" s="559" t="s">
        <v>1074</v>
      </c>
      <c r="B951" s="559"/>
      <c r="C951" s="559"/>
      <c r="D951" s="559"/>
      <c r="E951" s="561">
        <f>((E945-E946-E947)+(E948+E949+E950))</f>
        <v>1200</v>
      </c>
    </row>
    <row r="952" spans="1:5" x14ac:dyDescent="0.25">
      <c r="A952" s="556" t="s">
        <v>1010</v>
      </c>
      <c r="B952" s="556" t="s">
        <v>1010</v>
      </c>
      <c r="C952" s="556">
        <v>2100</v>
      </c>
      <c r="D952" s="565">
        <v>6810</v>
      </c>
      <c r="E952" s="557">
        <f>SUMIFS('Accounting data'!$G$2:$G$37003,'Accounting data'!$J$2:$J$37003,"21*",'Accounting data'!$K$2:$K$37003,"681*")</f>
        <v>0</v>
      </c>
    </row>
    <row r="953" spans="1:5" x14ac:dyDescent="0.25">
      <c r="A953" s="556" t="s">
        <v>1011</v>
      </c>
      <c r="B953" s="556" t="s">
        <v>1010</v>
      </c>
      <c r="C953" s="556">
        <v>2100</v>
      </c>
      <c r="D953" s="565">
        <v>6810</v>
      </c>
      <c r="E953" s="557">
        <f>SUMIFS('Accounting data'!$G$2:$G$37003,'Accounting data'!$H$2:$H$37003,"9999*",'Accounting data'!$J$2:$J$37003,"21*",'Accounting data'!$K$2:$K$37003,"681*")</f>
        <v>0</v>
      </c>
    </row>
    <row r="954" spans="1:5" x14ac:dyDescent="0.25">
      <c r="A954" s="556" t="s">
        <v>1010</v>
      </c>
      <c r="B954" s="556" t="s">
        <v>1012</v>
      </c>
      <c r="C954" s="556">
        <v>2100</v>
      </c>
      <c r="D954" s="565">
        <v>6810</v>
      </c>
      <c r="E954" s="557">
        <f>SUMIFS('Accounting data'!$G$2:$G$37003,'Accounting data'!$I$2:$I$37003,"7*",'Accounting data'!$J$2:$J$37003,"21*",'Accounting data'!$K$2:$K$37003,"681*")+SUMIFS('Accounting data'!$G$2:$G$37003,'Accounting data'!$I$2:$I$37003,"8*",'Accounting data'!$J$2:$J$37003,"21*",'Accounting data'!$K$2:$K$37003,"681*")+SUMIFS('Accounting data'!$G$2:$G$37003,'Accounting data'!$I$2:$I$37003,"9*",'Accounting data'!$J$2:$J$37003,"21*",'Accounting data'!$K$2:$K$37003,"681*")</f>
        <v>0</v>
      </c>
    </row>
    <row r="955" spans="1:5" x14ac:dyDescent="0.25">
      <c r="A955" s="558" t="s">
        <v>1011</v>
      </c>
      <c r="B955" s="556" t="s">
        <v>1012</v>
      </c>
      <c r="C955" s="556">
        <v>2100</v>
      </c>
      <c r="D955" s="565">
        <v>6810</v>
      </c>
      <c r="E955" s="557">
        <f>SUMIFS('Accounting data'!$G$2:$G$37003,'Accounting data'!$H$2:$H$37003,"9999*",'Accounting data'!$I$2:$I$37003,"7*",'Accounting data'!$J$2:$J$37003,"21*",'Accounting data'!$K$2:$K$37003,"681*")+SUMIFS('Accounting data'!$G$2:$G$37003,'Accounting data'!$H$2:$H$37003,"9999*",'Accounting data'!$I$2:$I$37003,"8*",'Accounting data'!$J$2:$J$37003,"21*",'Accounting data'!$K$2:$K$37003,"681*")+SUMIFS('Accounting data'!$G$2:$G$37003,'Accounting data'!$H$2:$H$37003,"9999*",'Accounting data'!$I$2:$I$37003,"9*",'Accounting data'!$J$2:$J$37003,"21*",'Accounting data'!$K$2:$K$37003,"681*")</f>
        <v>0</v>
      </c>
    </row>
    <row r="956" spans="1:5" x14ac:dyDescent="0.25">
      <c r="A956" s="556"/>
      <c r="B956" s="556"/>
      <c r="C956" s="556"/>
      <c r="D956" s="565"/>
      <c r="E956" s="557"/>
    </row>
    <row r="957" spans="1:5" x14ac:dyDescent="0.25">
      <c r="A957" s="556"/>
      <c r="B957" s="556"/>
      <c r="C957" s="556"/>
      <c r="D957" s="565"/>
      <c r="E957" s="557"/>
    </row>
    <row r="958" spans="1:5" x14ac:dyDescent="0.25">
      <c r="A958" s="559" t="s">
        <v>1075</v>
      </c>
      <c r="B958" s="559"/>
      <c r="C958" s="559"/>
      <c r="D958" s="559"/>
      <c r="E958" s="561">
        <f>(E952-E953-E954)+(E955+E956+E957)</f>
        <v>0</v>
      </c>
    </row>
    <row r="959" spans="1:5" x14ac:dyDescent="0.25">
      <c r="A959" s="556" t="s">
        <v>1010</v>
      </c>
      <c r="B959" s="556" t="s">
        <v>1010</v>
      </c>
      <c r="C959" s="556">
        <v>2200</v>
      </c>
      <c r="D959" s="565">
        <v>6810</v>
      </c>
      <c r="E959" s="557">
        <f>SUMIFS('Accounting data'!$G$2:$G$37003,'Accounting data'!$J$2:$J$37003,"22*",'Accounting data'!$K$2:$K$37003,"681*")</f>
        <v>0</v>
      </c>
    </row>
    <row r="960" spans="1:5" x14ac:dyDescent="0.25">
      <c r="A960" s="556" t="s">
        <v>1011</v>
      </c>
      <c r="B960" s="556" t="s">
        <v>1010</v>
      </c>
      <c r="C960" s="556">
        <v>2200</v>
      </c>
      <c r="D960" s="565">
        <v>6810</v>
      </c>
      <c r="E960" s="557">
        <f>SUMIFS('Accounting data'!$G$2:$G$37003,'Accounting data'!$H$2:$H$37003,"9999*",'Accounting data'!$J$2:$J$37003,"22*",'Accounting data'!$K$2:$K$37003,"681*")</f>
        <v>0</v>
      </c>
    </row>
    <row r="961" spans="1:5" x14ac:dyDescent="0.25">
      <c r="A961" s="556" t="s">
        <v>1010</v>
      </c>
      <c r="B961" s="556" t="s">
        <v>1012</v>
      </c>
      <c r="C961" s="556">
        <v>2200</v>
      </c>
      <c r="D961" s="565">
        <v>6810</v>
      </c>
      <c r="E961" s="557">
        <f>SUMIFS('Accounting data'!$G$2:$G$37003,'Accounting data'!$I$2:$I$37003,"7*",'Accounting data'!$J$2:$J$37003,"22*",'Accounting data'!$K$2:$K$37003,"681*")+SUMIFS('Accounting data'!$G$2:$G$37003,'Accounting data'!$I$2:$I$37003,"8*",'Accounting data'!$J$2:$J$37003,"22*",'Accounting data'!$K$2:$K$37003,"681*")+SUMIFS('Accounting data'!$G$2:$G$37003,'Accounting data'!$I$2:$I$37003,"9*",'Accounting data'!$J$2:$J$37003,"22*",'Accounting data'!$K$2:$K$37003,"681*")</f>
        <v>0</v>
      </c>
    </row>
    <row r="962" spans="1:5" x14ac:dyDescent="0.25">
      <c r="A962" s="558" t="s">
        <v>1011</v>
      </c>
      <c r="B962" s="556" t="s">
        <v>1012</v>
      </c>
      <c r="C962" s="556">
        <v>2200</v>
      </c>
      <c r="D962" s="565">
        <v>6810</v>
      </c>
      <c r="E962" s="557">
        <f>SUMIFS('Accounting data'!$G$2:$G$37003,'Accounting data'!$H$2:$H$37003,"9999*",'Accounting data'!$I$2:$I$37003,"7*",'Accounting data'!$J$2:$J$37003,"22*",'Accounting data'!$K$2:$K$37003,"681*")+SUMIFS('Accounting data'!$G$2:$G$37003,'Accounting data'!$H$2:$H$37003,"9999*",'Accounting data'!$I$2:$I$37003,"8*",'Accounting data'!$J$2:$J$37003,"22*",'Accounting data'!$K$2:$K$37003,"681*")+SUMIFS('Accounting data'!$G$2:$G$37003,'Accounting data'!$H$2:$H$37003,"9999*",'Accounting data'!$I$2:$I$37003,"9*",'Accounting data'!$J$2:$J$37003,"22*",'Accounting data'!$K$2:$K$37003,"681*")</f>
        <v>0</v>
      </c>
    </row>
    <row r="963" spans="1:5" x14ac:dyDescent="0.25">
      <c r="A963" s="556"/>
      <c r="B963" s="556"/>
      <c r="C963" s="556"/>
      <c r="D963" s="565"/>
      <c r="E963" s="557"/>
    </row>
    <row r="964" spans="1:5" x14ac:dyDescent="0.25">
      <c r="A964" s="556"/>
      <c r="B964" s="556"/>
      <c r="C964" s="556"/>
      <c r="D964" s="565"/>
      <c r="E964" s="557"/>
    </row>
    <row r="965" spans="1:5" x14ac:dyDescent="0.25">
      <c r="A965" s="559" t="s">
        <v>1076</v>
      </c>
      <c r="B965" s="559"/>
      <c r="C965" s="559"/>
      <c r="D965" s="559"/>
      <c r="E965" s="561">
        <f>(E959-E960-E961)+(E962+E963+E964)</f>
        <v>0</v>
      </c>
    </row>
    <row r="966" spans="1:5" x14ac:dyDescent="0.25">
      <c r="A966" s="556" t="s">
        <v>1010</v>
      </c>
      <c r="B966" s="556" t="s">
        <v>1010</v>
      </c>
      <c r="C966" s="556">
        <v>2300</v>
      </c>
      <c r="D966" s="565">
        <v>6810</v>
      </c>
      <c r="E966" s="557">
        <f>SUMIFS('Accounting data'!$G$2:$G$37003,'Accounting data'!$J$2:$J$37003,"23*",'Accounting data'!$K$2:$K$37003,"681*")</f>
        <v>0</v>
      </c>
    </row>
    <row r="967" spans="1:5" x14ac:dyDescent="0.25">
      <c r="A967" s="556" t="s">
        <v>1011</v>
      </c>
      <c r="B967" s="556" t="s">
        <v>1010</v>
      </c>
      <c r="C967" s="556">
        <v>2300</v>
      </c>
      <c r="D967" s="565">
        <v>6810</v>
      </c>
      <c r="E967" s="557">
        <f>SUMIFS('Accounting data'!$G$2:$G$37003,'Accounting data'!$H$2:$H$37003,"9999*",'Accounting data'!$J$2:$J$37003,"23*",'Accounting data'!$K$2:$K$37003,"681*")</f>
        <v>0</v>
      </c>
    </row>
    <row r="968" spans="1:5" x14ac:dyDescent="0.25">
      <c r="A968" s="556" t="s">
        <v>1010</v>
      </c>
      <c r="B968" s="556" t="s">
        <v>1012</v>
      </c>
      <c r="C968" s="556">
        <v>2300</v>
      </c>
      <c r="D968" s="565">
        <v>6810</v>
      </c>
      <c r="E968" s="557">
        <f>SUMIFS('Accounting data'!$G$2:$G$37003,'Accounting data'!$I$2:$I$37003,"7*",'Accounting data'!$J$2:$J$37003,"23*",'Accounting data'!$K$2:$K$37003,"681*")+SUMIFS('Accounting data'!$G$2:$G$37003,'Accounting data'!$I$2:$I$37003,"8*",'Accounting data'!$J$2:$J$37003,"23*",'Accounting data'!$K$2:$K$37003,"681*")+SUMIFS('Accounting data'!$G$2:$G$37003,'Accounting data'!$I$2:$I$37003,"9*",'Accounting data'!$J$2:$J$37003,"23*",'Accounting data'!$K$2:$K$37003,"681*")</f>
        <v>0</v>
      </c>
    </row>
    <row r="969" spans="1:5" x14ac:dyDescent="0.25">
      <c r="A969" s="558" t="s">
        <v>1011</v>
      </c>
      <c r="B969" s="556" t="s">
        <v>1012</v>
      </c>
      <c r="C969" s="556">
        <v>2300</v>
      </c>
      <c r="D969" s="565">
        <v>6810</v>
      </c>
      <c r="E969" s="557">
        <f>SUMIFS('Accounting data'!$G$2:$G$37003,'Accounting data'!$H$2:$H$37003,"9999*",'Accounting data'!$I$2:$I$37003,"7*",'Accounting data'!$J$2:$J$37003,"23*",'Accounting data'!$K$2:$K$37003,"681*")+SUMIFS('Accounting data'!$G$2:$G$37003,'Accounting data'!$H$2:$H$37003,"9999*",'Accounting data'!$I$2:$I$37003,"8*",'Accounting data'!$J$2:$J$37003,"23*",'Accounting data'!$K$2:$K$37003,"681*")+SUMIFS('Accounting data'!$G$2:$G$37003,'Accounting data'!$H$2:$H$37003,"9999*",'Accounting data'!$I$2:$I$37003,"9*",'Accounting data'!$J$2:$J$37003,"23*",'Accounting data'!$K$2:$K$37003,"681*")</f>
        <v>0</v>
      </c>
    </row>
    <row r="970" spans="1:5" x14ac:dyDescent="0.25">
      <c r="A970" s="556"/>
      <c r="B970" s="556"/>
      <c r="C970" s="556"/>
      <c r="D970" s="565"/>
      <c r="E970" s="557"/>
    </row>
    <row r="971" spans="1:5" x14ac:dyDescent="0.25">
      <c r="A971" s="556"/>
      <c r="B971" s="556"/>
      <c r="C971" s="556"/>
      <c r="D971" s="565"/>
      <c r="E971" s="557"/>
    </row>
    <row r="972" spans="1:5" x14ac:dyDescent="0.25">
      <c r="A972" s="559" t="s">
        <v>1077</v>
      </c>
      <c r="B972" s="559"/>
      <c r="C972" s="559"/>
      <c r="D972" s="559"/>
      <c r="E972" s="561">
        <f>(E966-E967-E968)+(E969+E970+E971)</f>
        <v>0</v>
      </c>
    </row>
    <row r="973" spans="1:5" x14ac:dyDescent="0.25">
      <c r="A973" s="556" t="s">
        <v>1010</v>
      </c>
      <c r="B973" s="556" t="s">
        <v>1010</v>
      </c>
      <c r="C973" s="556">
        <v>2400</v>
      </c>
      <c r="D973" s="565">
        <v>6810</v>
      </c>
      <c r="E973" s="557">
        <f>SUMIFS('Accounting data'!$G$2:$G$37003,'Accounting data'!$J$2:$J$37003,"24*",'Accounting data'!$K$2:$K$37003,"681*")</f>
        <v>0</v>
      </c>
    </row>
    <row r="974" spans="1:5" x14ac:dyDescent="0.25">
      <c r="A974" s="556" t="s">
        <v>1011</v>
      </c>
      <c r="B974" s="556" t="s">
        <v>1010</v>
      </c>
      <c r="C974" s="556">
        <v>2400</v>
      </c>
      <c r="D974" s="565">
        <v>6810</v>
      </c>
      <c r="E974" s="557">
        <f>SUMIFS('Accounting data'!$G$2:$G$37003,'Accounting data'!$H$2:$H$37003,"9999*",'Accounting data'!$J$2:$J$37003,"24*",'Accounting data'!$K$2:$K$37003,"681*")</f>
        <v>0</v>
      </c>
    </row>
    <row r="975" spans="1:5" x14ac:dyDescent="0.25">
      <c r="A975" s="556" t="s">
        <v>1010</v>
      </c>
      <c r="B975" s="556" t="s">
        <v>1012</v>
      </c>
      <c r="C975" s="556">
        <v>2400</v>
      </c>
      <c r="D975" s="565">
        <v>6810</v>
      </c>
      <c r="E975" s="557">
        <f>SUMIFS('Accounting data'!$G$2:$G$37003,'Accounting data'!$I$2:$I$37003,"7*",'Accounting data'!$J$2:$J$37003,"24*",'Accounting data'!$K$2:$K$37003,"681*")+SUMIFS('Accounting data'!$G$2:$G$37003,'Accounting data'!$I$2:$I$37003,"8*",'Accounting data'!$J$2:$J$37003,"24*",'Accounting data'!$K$2:$K$37003,"681*")+SUMIFS('Accounting data'!$G$2:$G$37003,'Accounting data'!$I$2:$I$37003,"9*",'Accounting data'!$J$2:$J$37003,"24*",'Accounting data'!$K$2:$K$37003,"681*")</f>
        <v>0</v>
      </c>
    </row>
    <row r="976" spans="1:5" x14ac:dyDescent="0.25">
      <c r="A976" s="558" t="s">
        <v>1011</v>
      </c>
      <c r="B976" s="556" t="s">
        <v>1012</v>
      </c>
      <c r="C976" s="556">
        <v>2400</v>
      </c>
      <c r="D976" s="565">
        <v>6810</v>
      </c>
      <c r="E976" s="557">
        <f>SUMIFS('Accounting data'!$G$2:$G$37003,'Accounting data'!$H$2:$H$37003,"9999*",'Accounting data'!$I$2:$I$37003,"7*",'Accounting data'!$J$2:$J$37003,"24*",'Accounting data'!$K$2:$K$37003,"681*")+SUMIFS('Accounting data'!$G$2:$G$37003,'Accounting data'!$H$2:$H$37003,"9999*",'Accounting data'!$I$2:$I$37003,"8*",'Accounting data'!$J$2:$J$37003,"24*",'Accounting data'!$K$2:$K$37003,"681*")+SUMIFS('Accounting data'!$G$2:$G$37003,'Accounting data'!$H$2:$H$37003,"9999*",'Accounting data'!$I$2:$I$37003,"9*",'Accounting data'!$J$2:$J$37003,"24*",'Accounting data'!$K$2:$K$37003,"681*")</f>
        <v>0</v>
      </c>
    </row>
    <row r="977" spans="1:5" x14ac:dyDescent="0.25">
      <c r="A977" s="556"/>
      <c r="B977" s="556"/>
      <c r="C977" s="556"/>
      <c r="D977" s="565"/>
      <c r="E977" s="557"/>
    </row>
    <row r="978" spans="1:5" x14ac:dyDescent="0.25">
      <c r="A978" s="556"/>
      <c r="B978" s="556"/>
      <c r="C978" s="556"/>
      <c r="D978" s="565"/>
      <c r="E978" s="557"/>
    </row>
    <row r="979" spans="1:5" x14ac:dyDescent="0.25">
      <c r="A979" s="559" t="s">
        <v>1078</v>
      </c>
      <c r="B979" s="559"/>
      <c r="C979" s="559"/>
      <c r="D979" s="559"/>
      <c r="E979" s="561">
        <f>(E973-E974-E975)+(E976+E977+E978)</f>
        <v>0</v>
      </c>
    </row>
    <row r="980" spans="1:5" x14ac:dyDescent="0.25">
      <c r="A980" s="556" t="s">
        <v>1010</v>
      </c>
      <c r="B980" s="556" t="s">
        <v>1010</v>
      </c>
      <c r="C980" s="556">
        <v>2500</v>
      </c>
      <c r="D980" s="565">
        <v>6810</v>
      </c>
      <c r="E980" s="557">
        <f>SUMIFS('Accounting data'!$G$2:$G$37003,'Accounting data'!$J$2:$J$37003,"25*",'Accounting data'!$K$2:$K$37003,"681*")</f>
        <v>0</v>
      </c>
    </row>
    <row r="981" spans="1:5" x14ac:dyDescent="0.25">
      <c r="A981" s="556" t="s">
        <v>1011</v>
      </c>
      <c r="B981" s="556" t="s">
        <v>1010</v>
      </c>
      <c r="C981" s="556">
        <v>2500</v>
      </c>
      <c r="D981" s="565">
        <v>6810</v>
      </c>
      <c r="E981" s="557">
        <f>SUMIFS('Accounting data'!$G$2:$G$37003,'Accounting data'!$H$2:$H$37003,"9999*",'Accounting data'!$J$2:$J$37003,"25*",'Accounting data'!$K$2:$K$37003,"681*")</f>
        <v>0</v>
      </c>
    </row>
    <row r="982" spans="1:5" x14ac:dyDescent="0.25">
      <c r="A982" s="556" t="s">
        <v>1010</v>
      </c>
      <c r="B982" s="556" t="s">
        <v>1012</v>
      </c>
      <c r="C982" s="556">
        <v>2500</v>
      </c>
      <c r="D982" s="565">
        <v>6810</v>
      </c>
      <c r="E982" s="557">
        <f>SUMIFS('Accounting data'!$G$2:$G$37003,'Accounting data'!$I$2:$I$37003,"7*",'Accounting data'!$J$2:$J$37003,"25*",'Accounting data'!$K$2:$K$37003,"681*")+SUMIFS('Accounting data'!$G$2:$G$37003,'Accounting data'!$I$2:$I$37003,"8*",'Accounting data'!$J$2:$J$37003,"25*",'Accounting data'!$K$2:$K$37003,"681*")+SUMIFS('Accounting data'!$G$2:$G$37003,'Accounting data'!$I$2:$I$37003,"9*",'Accounting data'!$J$2:$J$37003,"25*",'Accounting data'!$K$2:$K$37003,"681*")</f>
        <v>0</v>
      </c>
    </row>
    <row r="983" spans="1:5" x14ac:dyDescent="0.25">
      <c r="A983" s="558" t="s">
        <v>1011</v>
      </c>
      <c r="B983" s="556" t="s">
        <v>1012</v>
      </c>
      <c r="C983" s="556">
        <v>2500</v>
      </c>
      <c r="D983" s="565">
        <v>6810</v>
      </c>
      <c r="E983" s="557">
        <f>SUMIFS('Accounting data'!$G$2:$G$37003,'Accounting data'!$H$2:$H$37003,"9999*",'Accounting data'!$I$2:$I$37003,"7*",'Accounting data'!$J$2:$J$37003,"25*",'Accounting data'!$K$2:$K$37003,"681*")+SUMIFS('Accounting data'!$G$2:$G$37003,'Accounting data'!$H$2:$H$37003,"9999*",'Accounting data'!$I$2:$I$37003,"8*",'Accounting data'!$J$2:$J$37003,"25*",'Accounting data'!$K$2:$K$37003,"681*")+SUMIFS('Accounting data'!$G$2:$G$37003,'Accounting data'!$H$2:$H$37003,"9999*",'Accounting data'!$I$2:$I$37003,"9*",'Accounting data'!$J$2:$J$37003,"25*",'Accounting data'!$K$2:$K$37003,"681*")</f>
        <v>0</v>
      </c>
    </row>
    <row r="984" spans="1:5" x14ac:dyDescent="0.25">
      <c r="A984" s="556"/>
      <c r="B984" s="556"/>
      <c r="C984" s="556"/>
      <c r="D984" s="565"/>
      <c r="E984" s="557"/>
    </row>
    <row r="985" spans="1:5" x14ac:dyDescent="0.25">
      <c r="A985" s="556"/>
      <c r="B985" s="556"/>
      <c r="C985" s="556"/>
      <c r="D985" s="565"/>
      <c r="E985" s="557"/>
    </row>
    <row r="986" spans="1:5" x14ac:dyDescent="0.25">
      <c r="A986" s="559" t="s">
        <v>1079</v>
      </c>
      <c r="B986" s="559"/>
      <c r="C986" s="559"/>
      <c r="D986" s="559"/>
      <c r="E986" s="561">
        <f>(E980-E981-E982)+(E983+E984+E985)</f>
        <v>0</v>
      </c>
    </row>
    <row r="987" spans="1:5" x14ac:dyDescent="0.25">
      <c r="A987" s="556" t="s">
        <v>1010</v>
      </c>
      <c r="B987" s="556" t="s">
        <v>1010</v>
      </c>
      <c r="C987" s="556">
        <v>2900</v>
      </c>
      <c r="D987" s="565">
        <v>6810</v>
      </c>
      <c r="E987" s="557">
        <f>SUMIFS('Accounting data'!$G$2:$G$37003,'Accounting data'!$J$2:$J$37003,"29*",'Accounting data'!$K$2:$K$37003,"681*")</f>
        <v>0</v>
      </c>
    </row>
    <row r="988" spans="1:5" x14ac:dyDescent="0.25">
      <c r="A988" s="556" t="s">
        <v>1011</v>
      </c>
      <c r="B988" s="556" t="s">
        <v>1010</v>
      </c>
      <c r="C988" s="556">
        <v>2900</v>
      </c>
      <c r="D988" s="565">
        <v>6810</v>
      </c>
      <c r="E988" s="557">
        <f>SUMIFS('Accounting data'!$G$2:$G$37003,'Accounting data'!$H$2:$H$37003,"9999*",'Accounting data'!$J$2:$J$37003,"29*",'Accounting data'!$K$2:$K$37003,"681*")</f>
        <v>0</v>
      </c>
    </row>
    <row r="989" spans="1:5" x14ac:dyDescent="0.25">
      <c r="A989" s="556" t="s">
        <v>1010</v>
      </c>
      <c r="B989" s="556" t="s">
        <v>1012</v>
      </c>
      <c r="C989" s="556">
        <v>2900</v>
      </c>
      <c r="D989" s="565">
        <v>6810</v>
      </c>
      <c r="E989" s="557">
        <f>SUMIFS('Accounting data'!$G$2:$G$37003,'Accounting data'!$I$2:$I$37003,"7*",'Accounting data'!$J$2:$J$37003,"29*",'Accounting data'!$K$2:$K$37003,"681*")+SUMIFS('Accounting data'!$G$2:$G$37003,'Accounting data'!$I$2:$I$37003,"8*",'Accounting data'!$J$2:$J$37003,"29*",'Accounting data'!$K$2:$K$37003,"681*")+SUMIFS('Accounting data'!$G$2:$G$37003,'Accounting data'!$I$2:$I$37003,"9*",'Accounting data'!$J$2:$J$37003,"29*",'Accounting data'!$K$2:$K$37003,"681*")</f>
        <v>0</v>
      </c>
    </row>
    <row r="990" spans="1:5" x14ac:dyDescent="0.25">
      <c r="A990" s="558" t="s">
        <v>1011</v>
      </c>
      <c r="B990" s="556" t="s">
        <v>1012</v>
      </c>
      <c r="C990" s="556">
        <v>2900</v>
      </c>
      <c r="D990" s="565">
        <v>6810</v>
      </c>
      <c r="E990" s="557">
        <f>SUMIFS('Accounting data'!$G$2:$G$37003,'Accounting data'!$H$2:$H$37003,"9999*",'Accounting data'!$I$2:$I$37003,"7*",'Accounting data'!$J$2:$J$37003,"29*",'Accounting data'!$K$2:$K$37003,"681*")+SUMIFS('Accounting data'!$G$2:$G$37003,'Accounting data'!$H$2:$H$37003,"9999*",'Accounting data'!$I$2:$I$37003,"8*",'Accounting data'!$J$2:$J$37003,"29*",'Accounting data'!$K$2:$K$37003,"681*")+SUMIFS('Accounting data'!$G$2:$G$37003,'Accounting data'!$H$2:$H$37003,"9999*",'Accounting data'!$I$2:$I$37003,"9*",'Accounting data'!$J$2:$J$37003,"29*",'Accounting data'!$K$2:$K$37003,"681*")</f>
        <v>0</v>
      </c>
    </row>
    <row r="991" spans="1:5" x14ac:dyDescent="0.25">
      <c r="A991" s="556"/>
      <c r="B991" s="556"/>
      <c r="C991" s="556"/>
      <c r="D991" s="565"/>
      <c r="E991" s="557"/>
    </row>
    <row r="992" spans="1:5" x14ac:dyDescent="0.25">
      <c r="A992" s="556"/>
      <c r="B992" s="556"/>
      <c r="C992" s="556"/>
      <c r="D992" s="565"/>
      <c r="E992" s="557"/>
    </row>
    <row r="993" spans="1:5" x14ac:dyDescent="0.25">
      <c r="A993" s="559" t="s">
        <v>1080</v>
      </c>
      <c r="B993" s="559"/>
      <c r="C993" s="559"/>
      <c r="D993" s="559"/>
      <c r="E993" s="561">
        <f>(E987-E988-E989)+(E990+E991+E992)</f>
        <v>0</v>
      </c>
    </row>
    <row r="994" spans="1:5" x14ac:dyDescent="0.25">
      <c r="A994" s="556" t="s">
        <v>1010</v>
      </c>
      <c r="B994" s="556" t="s">
        <v>1010</v>
      </c>
      <c r="C994" s="556">
        <v>2600</v>
      </c>
      <c r="D994" s="565">
        <v>6810</v>
      </c>
      <c r="E994" s="557">
        <f>SUMIFS('Accounting data'!$G$2:$G$37003,'Accounting data'!$J$2:$J$37003,"26*",'Accounting data'!$K$2:$K$37003,"681*")</f>
        <v>0</v>
      </c>
    </row>
    <row r="995" spans="1:5" x14ac:dyDescent="0.25">
      <c r="A995" s="556" t="s">
        <v>1011</v>
      </c>
      <c r="B995" s="556" t="s">
        <v>1010</v>
      </c>
      <c r="C995" s="556">
        <v>2600</v>
      </c>
      <c r="D995" s="565">
        <v>6810</v>
      </c>
      <c r="E995" s="557">
        <f>SUMIFS('Accounting data'!$G$2:$G$37003,'Accounting data'!$H$2:$H$37003,"9999*",'Accounting data'!$J$2:$J$37003,"26*",'Accounting data'!$K$2:$K$37003,"681*")</f>
        <v>0</v>
      </c>
    </row>
    <row r="996" spans="1:5" x14ac:dyDescent="0.25">
      <c r="A996" s="556" t="s">
        <v>1010</v>
      </c>
      <c r="B996" s="556" t="s">
        <v>1012</v>
      </c>
      <c r="C996" s="556">
        <v>2600</v>
      </c>
      <c r="D996" s="565">
        <v>6810</v>
      </c>
      <c r="E996" s="557">
        <f>SUMIFS('Accounting data'!$G$2:$G$37003,'Accounting data'!$I$2:$I$37003,"7*",'Accounting data'!$J$2:$J$37003,"26*",'Accounting data'!$K$2:$K$37003,"681*")+SUMIFS('Accounting data'!$G$2:$G$37003,'Accounting data'!$I$2:$I$37003,"8*",'Accounting data'!$J$2:$J$37003,"26*",'Accounting data'!$K$2:$K$37003,"681*")+SUMIFS('Accounting data'!$G$2:$G$37003,'Accounting data'!$I$2:$I$37003,"9*",'Accounting data'!$J$2:$J$37003,"26*",'Accounting data'!$K$2:$K$37003,"681*")</f>
        <v>0</v>
      </c>
    </row>
    <row r="997" spans="1:5" x14ac:dyDescent="0.25">
      <c r="A997" s="558" t="s">
        <v>1011</v>
      </c>
      <c r="B997" s="556" t="s">
        <v>1012</v>
      </c>
      <c r="C997" s="556">
        <v>2600</v>
      </c>
      <c r="D997" s="565">
        <v>6810</v>
      </c>
      <c r="E997" s="557">
        <f>SUMIFS('Accounting data'!$G$2:$G$37003,'Accounting data'!$H$2:$H$37003,"9999*",'Accounting data'!$I$2:$I$37003,"7*",'Accounting data'!$J$2:$J$37003,"26*",'Accounting data'!$K$2:$K$37003,"681*")+SUMIFS('Accounting data'!$G$2:$G$37003,'Accounting data'!$H$2:$H$37003,"9999*",'Accounting data'!$I$2:$I$37003,"8*",'Accounting data'!$J$2:$J$37003,"26*",'Accounting data'!$K$2:$K$37003,"681*")+SUMIFS('Accounting data'!$G$2:$G$37003,'Accounting data'!$H$2:$H$37003,"9999*",'Accounting data'!$I$2:$I$37003,"9*",'Accounting data'!$J$2:$J$37003,"26*",'Accounting data'!$K$2:$K$37003,"681*")</f>
        <v>0</v>
      </c>
    </row>
    <row r="998" spans="1:5" x14ac:dyDescent="0.25">
      <c r="A998" s="556"/>
      <c r="B998" s="556"/>
      <c r="C998" s="556"/>
      <c r="D998" s="565"/>
      <c r="E998" s="557"/>
    </row>
    <row r="999" spans="1:5" x14ac:dyDescent="0.25">
      <c r="A999" s="556"/>
      <c r="B999" s="556"/>
      <c r="C999" s="556"/>
      <c r="D999" s="565"/>
      <c r="E999" s="557"/>
    </row>
    <row r="1000" spans="1:5" x14ac:dyDescent="0.25">
      <c r="A1000" s="559" t="s">
        <v>1081</v>
      </c>
      <c r="B1000" s="559"/>
      <c r="C1000" s="559"/>
      <c r="D1000" s="559"/>
      <c r="E1000" s="561">
        <f>(E994-E995-E996)+(E997+E998+E999)</f>
        <v>0</v>
      </c>
    </row>
    <row r="1001" spans="1:5" x14ac:dyDescent="0.25">
      <c r="A1001" s="556" t="s">
        <v>1010</v>
      </c>
      <c r="B1001" s="556" t="s">
        <v>1010</v>
      </c>
      <c r="C1001" s="556">
        <v>2700</v>
      </c>
      <c r="D1001" s="565">
        <v>6810</v>
      </c>
      <c r="E1001" s="557">
        <f>SUMIFS('Accounting data'!$G$2:$G$37003,'Accounting data'!$J$2:$J$37003,"27*",'Accounting data'!$K$2:$K$37003,"681*")</f>
        <v>0</v>
      </c>
    </row>
    <row r="1002" spans="1:5" x14ac:dyDescent="0.25">
      <c r="A1002" s="556" t="s">
        <v>1011</v>
      </c>
      <c r="B1002" s="556" t="s">
        <v>1010</v>
      </c>
      <c r="C1002" s="556">
        <v>2700</v>
      </c>
      <c r="D1002" s="565">
        <v>6810</v>
      </c>
      <c r="E1002" s="557">
        <f>SUMIFS('Accounting data'!$G$2:$G$37003,'Accounting data'!$H$2:$H$37003,"9999*",'Accounting data'!$J$2:$J$37003,"27*",'Accounting data'!$K$2:$K$37003,"681*")</f>
        <v>0</v>
      </c>
    </row>
    <row r="1003" spans="1:5" x14ac:dyDescent="0.25">
      <c r="A1003" s="556" t="s">
        <v>1010</v>
      </c>
      <c r="B1003" s="556" t="s">
        <v>1012</v>
      </c>
      <c r="C1003" s="556">
        <v>2700</v>
      </c>
      <c r="D1003" s="565">
        <v>6810</v>
      </c>
      <c r="E1003" s="557">
        <f>SUMIFS('Accounting data'!$G$2:$G$37003,'Accounting data'!$I$2:$I$37003,"7*",'Accounting data'!$J$2:$J$37003,"27*",'Accounting data'!$K$2:$K$37003,"681*")+SUMIFS('Accounting data'!$G$2:$G$37003,'Accounting data'!$I$2:$I$37003,"8*",'Accounting data'!$J$2:$J$37003,"27*",'Accounting data'!$K$2:$K$37003,"681*")+SUMIFS('Accounting data'!$G$2:$G$37003,'Accounting data'!$I$2:$I$37003,"9*",'Accounting data'!$J$2:$J$37003,"27*",'Accounting data'!$K$2:$K$37003,"681*")</f>
        <v>0</v>
      </c>
    </row>
    <row r="1004" spans="1:5" x14ac:dyDescent="0.25">
      <c r="A1004" s="558" t="s">
        <v>1011</v>
      </c>
      <c r="B1004" s="556" t="s">
        <v>1012</v>
      </c>
      <c r="C1004" s="556">
        <v>2700</v>
      </c>
      <c r="D1004" s="565">
        <v>6810</v>
      </c>
      <c r="E1004" s="557">
        <f>SUMIFS('Accounting data'!$G$2:$G$37003,'Accounting data'!$H$2:$H$37003,"9999*",'Accounting data'!$I$2:$I$37003,"7*",'Accounting data'!$J$2:$J$37003,"27*",'Accounting data'!$K$2:$K$37003,"681*")+SUMIFS('Accounting data'!$G$2:$G$37003,'Accounting data'!$H$2:$H$37003,"9999*",'Accounting data'!$I$2:$I$37003,"8*",'Accounting data'!$J$2:$J$37003,"27*",'Accounting data'!$K$2:$K$37003,"681*")+SUMIFS('Accounting data'!$G$2:$G$37003,'Accounting data'!$H$2:$H$37003,"9999*",'Accounting data'!$I$2:$I$37003,"9*",'Accounting data'!$J$2:$J$37003,"27*",'Accounting data'!$K$2:$K$37003,"681*")</f>
        <v>0</v>
      </c>
    </row>
    <row r="1005" spans="1:5" x14ac:dyDescent="0.25">
      <c r="A1005" s="556"/>
      <c r="B1005" s="556"/>
      <c r="C1005" s="556"/>
      <c r="D1005" s="565"/>
      <c r="E1005" s="557"/>
    </row>
    <row r="1006" spans="1:5" x14ac:dyDescent="0.25">
      <c r="A1006" s="556"/>
      <c r="B1006" s="556"/>
      <c r="C1006" s="556"/>
      <c r="D1006" s="565"/>
      <c r="E1006" s="557"/>
    </row>
    <row r="1007" spans="1:5" x14ac:dyDescent="0.25">
      <c r="A1007" s="559" t="s">
        <v>1082</v>
      </c>
      <c r="B1007" s="559"/>
      <c r="C1007" s="559"/>
      <c r="D1007" s="559"/>
      <c r="E1007" s="561">
        <f>(E1001-E1002-E1003)+(E1004+E1005+E1006)</f>
        <v>0</v>
      </c>
    </row>
    <row r="1008" spans="1:5" x14ac:dyDescent="0.25">
      <c r="A1008" s="556" t="s">
        <v>1010</v>
      </c>
      <c r="B1008" s="556" t="s">
        <v>1010</v>
      </c>
      <c r="C1008" s="556">
        <v>3100</v>
      </c>
      <c r="D1008" s="565">
        <v>6810</v>
      </c>
      <c r="E1008" s="557">
        <f>SUMIFS('Accounting data'!$G$2:$G$37003,'Accounting data'!$J$2:$J$37003,"31*",'Accounting data'!$K$2:$K$37003,"681*")</f>
        <v>0</v>
      </c>
    </row>
    <row r="1009" spans="1:5" x14ac:dyDescent="0.25">
      <c r="A1009" s="556" t="s">
        <v>1011</v>
      </c>
      <c r="B1009" s="556" t="s">
        <v>1010</v>
      </c>
      <c r="C1009" s="556">
        <v>3100</v>
      </c>
      <c r="D1009" s="565">
        <v>6810</v>
      </c>
      <c r="E1009" s="557">
        <f>SUMIFS('Accounting data'!$G$2:$G$37003,'Accounting data'!$H$2:$H$37003,"9999*",'Accounting data'!$J$2:$J$37003,"31*",'Accounting data'!$K$2:$K$37003,"681*")</f>
        <v>0</v>
      </c>
    </row>
    <row r="1010" spans="1:5" x14ac:dyDescent="0.25">
      <c r="A1010" s="556" t="s">
        <v>1010</v>
      </c>
      <c r="B1010" s="556" t="s">
        <v>1012</v>
      </c>
      <c r="C1010" s="556">
        <v>3100</v>
      </c>
      <c r="D1010" s="565">
        <v>6810</v>
      </c>
      <c r="E1010" s="557">
        <f>SUMIFS('Accounting data'!$G$2:$G$37003,'Accounting data'!$I$2:$I$37003,"7*",'Accounting data'!$J$2:$J$37003,"31*",'Accounting data'!$K$2:$K$37003,"681*")+SUMIFS('Accounting data'!$G$2:$G$37003,'Accounting data'!$I$2:$I$37003,"8*",'Accounting data'!$J$2:$J$37003,"31*",'Accounting data'!$K$2:$K$37003,"681*")+SUMIFS('Accounting data'!$G$2:$G$37003,'Accounting data'!$I$2:$I$37003,"9*",'Accounting data'!$J$2:$J$37003,"31*",'Accounting data'!$K$2:$K$37003,"681*")</f>
        <v>0</v>
      </c>
    </row>
    <row r="1011" spans="1:5" x14ac:dyDescent="0.25">
      <c r="A1011" s="558" t="s">
        <v>1011</v>
      </c>
      <c r="B1011" s="556" t="s">
        <v>1012</v>
      </c>
      <c r="C1011" s="556">
        <v>3100</v>
      </c>
      <c r="D1011" s="565">
        <v>6810</v>
      </c>
      <c r="E1011" s="557">
        <f>SUMIFS('Accounting data'!$G$2:$G$37003,'Accounting data'!$H$2:$H$37003,"9999*",'Accounting data'!$I$2:$I$37003,"7*",'Accounting data'!$J$2:$J$37003,"31*",'Accounting data'!$K$2:$K$37003,"681*")+SUMIFS('Accounting data'!$G$2:$G$37003,'Accounting data'!$H$2:$H$37003,"9999*",'Accounting data'!$I$2:$I$37003,"8*",'Accounting data'!$J$2:$J$37003,"31*",'Accounting data'!$K$2:$K$37003,"681*")+SUMIFS('Accounting data'!$G$2:$G$37003,'Accounting data'!$H$2:$H$37003,"9999*",'Accounting data'!$I$2:$I$37003,"9*",'Accounting data'!$J$2:$J$37003,"31*",'Accounting data'!$K$2:$K$37003,"681*")</f>
        <v>0</v>
      </c>
    </row>
    <row r="1012" spans="1:5" x14ac:dyDescent="0.25">
      <c r="A1012" s="556"/>
      <c r="B1012" s="556"/>
      <c r="C1012" s="556"/>
      <c r="D1012" s="565"/>
      <c r="E1012" s="557"/>
    </row>
    <row r="1013" spans="1:5" x14ac:dyDescent="0.25">
      <c r="A1013" s="556"/>
      <c r="B1013" s="556"/>
      <c r="C1013" s="556"/>
      <c r="D1013" s="565"/>
      <c r="E1013" s="557"/>
    </row>
    <row r="1014" spans="1:5" x14ac:dyDescent="0.25">
      <c r="A1014" s="559" t="s">
        <v>1083</v>
      </c>
      <c r="B1014" s="559"/>
      <c r="C1014" s="559"/>
      <c r="D1014" s="559"/>
      <c r="E1014" s="561">
        <f>(E1008-E1009-E1010)+(E1011+E1012+E1013)</f>
        <v>0</v>
      </c>
    </row>
    <row r="1015" spans="1:5" x14ac:dyDescent="0.25">
      <c r="A1015" s="556"/>
      <c r="B1015" s="556"/>
      <c r="C1015" s="556"/>
      <c r="D1015" s="565"/>
      <c r="E1015" s="557"/>
    </row>
    <row r="1016" spans="1:5" x14ac:dyDescent="0.25">
      <c r="A1016" s="556"/>
      <c r="B1016" s="556"/>
      <c r="C1016" s="556"/>
      <c r="D1016" s="565"/>
      <c r="E1016" s="557"/>
    </row>
    <row r="1017" spans="1:5" x14ac:dyDescent="0.25">
      <c r="A1017" s="556"/>
      <c r="B1017" s="556"/>
      <c r="C1017" s="556"/>
      <c r="D1017" s="565"/>
      <c r="E1017" s="557"/>
    </row>
    <row r="1018" spans="1:5" x14ac:dyDescent="0.25">
      <c r="A1018" s="558"/>
      <c r="B1018" s="556"/>
      <c r="C1018" s="556"/>
      <c r="D1018" s="565"/>
      <c r="E1018" s="557"/>
    </row>
    <row r="1019" spans="1:5" x14ac:dyDescent="0.25">
      <c r="A1019" s="556"/>
      <c r="B1019" s="556"/>
      <c r="C1019" s="556"/>
      <c r="D1019" s="565"/>
      <c r="E1019" s="557"/>
    </row>
    <row r="1020" spans="1:5" x14ac:dyDescent="0.25">
      <c r="A1020" s="556"/>
      <c r="B1020" s="556"/>
      <c r="C1020" s="556"/>
      <c r="D1020" s="565"/>
      <c r="E1020" s="557"/>
    </row>
    <row r="1021" spans="1:5" x14ac:dyDescent="0.25">
      <c r="A1021" s="559"/>
      <c r="B1021" s="559"/>
      <c r="C1021" s="559"/>
      <c r="D1021" s="559"/>
      <c r="E1021" s="561"/>
    </row>
    <row r="1022" spans="1:5" x14ac:dyDescent="0.25">
      <c r="A1022" s="556" t="s">
        <v>1010</v>
      </c>
      <c r="B1022" s="556" t="s">
        <v>1010</v>
      </c>
      <c r="C1022" s="556">
        <v>3400</v>
      </c>
      <c r="D1022" s="565">
        <v>6810</v>
      </c>
      <c r="E1022" s="557">
        <f>SUMIFS('Accounting data'!$G$2:$G$37003,'Accounting data'!$J$2:$J$37003,"34*",'Accounting data'!$K$2:$K$37003,"681*")</f>
        <v>0</v>
      </c>
    </row>
    <row r="1023" spans="1:5" x14ac:dyDescent="0.25">
      <c r="A1023" s="556" t="s">
        <v>1011</v>
      </c>
      <c r="B1023" s="556" t="s">
        <v>1010</v>
      </c>
      <c r="C1023" s="556">
        <v>3400</v>
      </c>
      <c r="D1023" s="565">
        <v>6810</v>
      </c>
      <c r="E1023" s="557">
        <f>SUMIFS('Accounting data'!$G$2:$G$37003,'Accounting data'!$H$2:$H$37003,"9999*",'Accounting data'!$J$2:$J$37003,"34*",'Accounting data'!$K$2:$K$37003,"681*")</f>
        <v>0</v>
      </c>
    </row>
    <row r="1024" spans="1:5" x14ac:dyDescent="0.25">
      <c r="A1024" s="556" t="s">
        <v>1010</v>
      </c>
      <c r="B1024" s="556" t="s">
        <v>1012</v>
      </c>
      <c r="C1024" s="556">
        <v>3400</v>
      </c>
      <c r="D1024" s="565">
        <v>6810</v>
      </c>
      <c r="E1024" s="557">
        <f>SUMIFS('Accounting data'!$G$2:$G$37003,'Accounting data'!$I$2:$I$37003,"7*",'Accounting data'!$J$2:$J$37003,"34*",'Accounting data'!$K$2:$K$37003,"681*")+SUMIFS('Accounting data'!$G$2:$G$37003,'Accounting data'!$I$2:$I$37003,"8*",'Accounting data'!$J$2:$J$37003,"34*",'Accounting data'!$K$2:$K$37003,"681*")+SUMIFS('Accounting data'!$G$2:$G$37003,'Accounting data'!$I$2:$I$37003,"9*",'Accounting data'!$J$2:$J$37003,"34*",'Accounting data'!$K$2:$K$37003,"681*")</f>
        <v>0</v>
      </c>
    </row>
    <row r="1025" spans="1:5" x14ac:dyDescent="0.25">
      <c r="A1025" s="558" t="s">
        <v>1011</v>
      </c>
      <c r="B1025" s="556" t="s">
        <v>1012</v>
      </c>
      <c r="C1025" s="556">
        <v>3400</v>
      </c>
      <c r="D1025" s="565">
        <v>6810</v>
      </c>
      <c r="E1025" s="557">
        <f>SUMIFS('Accounting data'!$G$2:$G$37003,'Accounting data'!$H$2:$H$37003,"9999*",'Accounting data'!$I$2:$I$37003,"7*",'Accounting data'!$J$2:$J$37003,"34*",'Accounting data'!$K$2:$K$37003,"681*")+SUMIFS('Accounting data'!$G$2:$G$37003,'Accounting data'!$H$2:$H$37003,"9999*",'Accounting data'!$I$2:$I$37003,"8*",'Accounting data'!$J$2:$J$37003,"34*",'Accounting data'!$K$2:$K$37003,"681*")+SUMIFS('Accounting data'!$G$2:$G$37003,'Accounting data'!$H$2:$H$37003,"9999*",'Accounting data'!$I$2:$I$37003,"9*",'Accounting data'!$J$2:$J$37003,"34*",'Accounting data'!$K$2:$K$37003,"681*")</f>
        <v>0</v>
      </c>
    </row>
    <row r="1026" spans="1:5" x14ac:dyDescent="0.25">
      <c r="A1026" s="556"/>
      <c r="B1026" s="556"/>
      <c r="C1026" s="556"/>
      <c r="D1026" s="565"/>
      <c r="E1026" s="557"/>
    </row>
    <row r="1027" spans="1:5" x14ac:dyDescent="0.25">
      <c r="A1027" s="556"/>
      <c r="B1027" s="556"/>
      <c r="C1027" s="556"/>
      <c r="D1027" s="565"/>
      <c r="E1027" s="557"/>
    </row>
    <row r="1028" spans="1:5" x14ac:dyDescent="0.25">
      <c r="A1028" s="559" t="s">
        <v>1084</v>
      </c>
      <c r="B1028" s="559"/>
      <c r="C1028" s="559"/>
      <c r="D1028" s="559"/>
      <c r="E1028" s="561">
        <f>(E1022-E1023-E1024)+(E1025+E1026+E1027)</f>
        <v>0</v>
      </c>
    </row>
    <row r="1029" spans="1:5" x14ac:dyDescent="0.25">
      <c r="A1029" s="556" t="s">
        <v>1010</v>
      </c>
      <c r="B1029" s="556" t="s">
        <v>1010</v>
      </c>
      <c r="C1029" s="556">
        <v>4000</v>
      </c>
      <c r="D1029" s="565">
        <v>6810</v>
      </c>
      <c r="E1029" s="557">
        <f>SUMIFS('Accounting data'!$G$2:$G$37003,'Accounting data'!$J$2:$J$37003,"4*",'Accounting data'!$K$2:$K$37003,"681*")</f>
        <v>0</v>
      </c>
    </row>
    <row r="1030" spans="1:5" x14ac:dyDescent="0.25">
      <c r="A1030" s="556" t="s">
        <v>1011</v>
      </c>
      <c r="B1030" s="556" t="s">
        <v>1010</v>
      </c>
      <c r="C1030" s="556">
        <v>4000</v>
      </c>
      <c r="D1030" s="565">
        <v>6810</v>
      </c>
      <c r="E1030" s="557">
        <f>SUMIFS('Accounting data'!$G$2:$G$37003,'Accounting data'!$H$2:$H$37003,"9999*",'Accounting data'!$J$2:$J$37003,"4*",'Accounting data'!$K$2:$K$37003,"681*")</f>
        <v>0</v>
      </c>
    </row>
    <row r="1031" spans="1:5" x14ac:dyDescent="0.25">
      <c r="A1031" s="556" t="s">
        <v>1010</v>
      </c>
      <c r="B1031" s="556" t="s">
        <v>1012</v>
      </c>
      <c r="C1031" s="556">
        <v>4000</v>
      </c>
      <c r="D1031" s="565">
        <v>6810</v>
      </c>
      <c r="E1031" s="557">
        <f>SUMIFS('Accounting data'!$G$2:$G$37003,'Accounting data'!$I$2:$I$37003,"7*",'Accounting data'!$J$2:$J$37003,"4*",'Accounting data'!$K$2:$K$37003,"681*")+SUMIFS('Accounting data'!$G$2:$G$37003,'Accounting data'!$I$2:$I$37003,"8*",'Accounting data'!$J$2:$J$37003,"4*",'Accounting data'!$K$2:$K$37003,"681*")+SUMIFS('Accounting data'!$G$2:$G$37003,'Accounting data'!$I$2:$I$37003,"9*",'Accounting data'!$J$2:$J$37003,"4*",'Accounting data'!$K$2:$K$37003,"681*")</f>
        <v>0</v>
      </c>
    </row>
    <row r="1032" spans="1:5" x14ac:dyDescent="0.25">
      <c r="A1032" s="558" t="s">
        <v>1011</v>
      </c>
      <c r="B1032" s="556" t="s">
        <v>1012</v>
      </c>
      <c r="C1032" s="556">
        <v>4000</v>
      </c>
      <c r="D1032" s="565">
        <v>6810</v>
      </c>
      <c r="E1032" s="557">
        <f>SUMIFS('Accounting data'!$G$2:$G$37003,'Accounting data'!$H$2:$H$37003,"9999*",'Accounting data'!$I$2:$I$37003,"7*",'Accounting data'!$J$2:$J$37003,"4*",'Accounting data'!$K$2:$K$37003,"681*")+SUMIFS('Accounting data'!$G$2:$G$37003,'Accounting data'!$H$2:$H$37003,"9999*",'Accounting data'!$I$2:$I$37003,"8*",'Accounting data'!$J$2:$J$37003,"4*",'Accounting data'!$K$2:$K$37003,"681*")+SUMIFS('Accounting data'!$G$2:$G$37003,'Accounting data'!$H$2:$H$37003,"9999*",'Accounting data'!$I$2:$I$37003,"9*",'Accounting data'!$J$2:$J$37003,"4*",'Accounting data'!$K$2:$K$37003,"681*")</f>
        <v>0</v>
      </c>
    </row>
    <row r="1033" spans="1:5" x14ac:dyDescent="0.25">
      <c r="A1033" s="556"/>
      <c r="B1033" s="556"/>
      <c r="C1033" s="556"/>
      <c r="D1033" s="565"/>
      <c r="E1033" s="557"/>
    </row>
    <row r="1034" spans="1:5" x14ac:dyDescent="0.25">
      <c r="A1034" s="556"/>
      <c r="B1034" s="556"/>
      <c r="C1034" s="556"/>
      <c r="D1034" s="565"/>
      <c r="E1034" s="557"/>
    </row>
    <row r="1035" spans="1:5" x14ac:dyDescent="0.25">
      <c r="A1035" s="559" t="s">
        <v>1085</v>
      </c>
      <c r="B1035" s="559"/>
      <c r="C1035" s="559"/>
      <c r="D1035" s="559"/>
      <c r="E1035" s="561">
        <f>(E1029-E1030-E1031)+(E1032+E1033+E1034)</f>
        <v>0</v>
      </c>
    </row>
    <row r="1036" spans="1:5" x14ac:dyDescent="0.25">
      <c r="A1036" s="562" t="s">
        <v>1086</v>
      </c>
      <c r="B1036" s="562"/>
      <c r="C1036" s="562"/>
      <c r="D1036" s="562"/>
      <c r="E1036" s="566">
        <f>E951+E958+E965+E972+E979+E986+E993+E1000+E1007+E1014+E1021+E1028</f>
        <v>1200</v>
      </c>
    </row>
    <row r="1037" spans="1:5" x14ac:dyDescent="0.25">
      <c r="A1037" s="556" t="s">
        <v>1026</v>
      </c>
      <c r="B1037" s="556" t="s">
        <v>1010</v>
      </c>
      <c r="C1037" s="556">
        <v>1000</v>
      </c>
      <c r="D1037" s="556">
        <v>6810</v>
      </c>
      <c r="E1037" s="557">
        <f>SUMIFS('Accounting data'!$G$2:$G$37003,'Accounting data'!$H$2:$H$37003,"11*",'Accounting data'!$J$2:$J$37003,"1*",'Accounting data'!$K$2:$K$37003,"681*")+SUMIFS('Accounting data'!$G$2:$G$37003,'Accounting data'!$H$2:$H$37003,"12*",'Accounting data'!$J$2:$J$37003,"1*",'Accounting data'!$K$2:$K$37003,"681*")+SUMIFS('Accounting data'!$G$2:$G$37003,'Accounting data'!$H$2:$H$37003,"13*",'Accounting data'!$J$2:$J$37003,"1*",'Accounting data'!$K$2:$K$37003,"681*")</f>
        <v>0</v>
      </c>
    </row>
    <row r="1038" spans="1:5" x14ac:dyDescent="0.25">
      <c r="A1038" s="556" t="s">
        <v>1026</v>
      </c>
      <c r="B1038" s="556" t="s">
        <v>1010</v>
      </c>
      <c r="C1038" s="556">
        <v>2000</v>
      </c>
      <c r="D1038" s="556">
        <v>6810</v>
      </c>
      <c r="E1038" s="557">
        <f>SUMIFS('Accounting data'!$G$2:$G$37003,'Accounting data'!$H$2:$H$37003,"11*",'Accounting data'!$J$2:$J$37003,"2*",'Accounting data'!$K$2:$K$37003,"681*")+SUMIFS('Accounting data'!$G$2:$G$37003,'Accounting data'!$H$2:$H$37003,"12*",'Accounting data'!$J$2:$J$37003,"2*",'Accounting data'!$K$2:$K$37003,"681*")+SUMIFS('Accounting data'!$G$2:$G$37003,'Accounting data'!$H$2:$H$37003,"13*",'Accounting data'!$J$2:$J$37003,"2*",'Accounting data'!$K$2:$K$37003,"681*")</f>
        <v>0</v>
      </c>
    </row>
    <row r="1039" spans="1:5" x14ac:dyDescent="0.25">
      <c r="A1039" s="556" t="s">
        <v>1026</v>
      </c>
      <c r="B1039" s="556" t="s">
        <v>1010</v>
      </c>
      <c r="C1039" s="556">
        <v>3000</v>
      </c>
      <c r="D1039" s="556">
        <v>6810</v>
      </c>
      <c r="E1039" s="557">
        <f>SUMIFS('Accounting data'!$G$2:$G$37003,'Accounting data'!$H$2:$H$37003,"11*",'Accounting data'!$J$2:$J$37003,"3*",'Accounting data'!$K$2:$K$37003,"681*")+SUMIFS('Accounting data'!$G$2:$G$37003,'Accounting data'!$H$2:$H$37003,"12*",'Accounting data'!$J$2:$J$37003,"3*",'Accounting data'!$K$2:$K$37003,"681*")+SUMIFS('Accounting data'!$G$2:$G$37003,'Accounting data'!$H$2:$H$37003,"13*",'Accounting data'!$J$2:$J$37003,"3*",'Accounting data'!$K$2:$K$37003,"681*")</f>
        <v>0</v>
      </c>
    </row>
    <row r="1040" spans="1:5" x14ac:dyDescent="0.25">
      <c r="A1040" s="556" t="s">
        <v>1026</v>
      </c>
      <c r="B1040" s="558">
        <v>700</v>
      </c>
      <c r="C1040" s="556">
        <v>1000</v>
      </c>
      <c r="D1040" s="556">
        <v>6810</v>
      </c>
      <c r="E1040" s="557">
        <f>SUMIFS('Accounting data'!$G$2:$G$37003,'Accounting data'!$H$2:$H$37003,"11*",'Accounting data'!$I$2:$I$37003,"7*",'Accounting data'!$J$2:$J$37003,"1*",'Accounting data'!$K$2:$K$37003,"681*")+SUMIFS('Accounting data'!$G$2:$G$37003,'Accounting data'!$H$2:$H$37003,"12*",'Accounting data'!$I$2:$I$37003,"7*",'Accounting data'!$J$2:$J$37003,"1*",'Accounting data'!$K$2:$K$37003,"681*")+SUMIFS('Accounting data'!$G$2:$G$37003,'Accounting data'!$H$2:$H$37003,"13*",'Accounting data'!$I$2:$I$37003,"7*",'Accounting data'!$J$2:$J$37003,"1*",'Accounting data'!$K$2:$K$37003,"681*")</f>
        <v>0</v>
      </c>
    </row>
    <row r="1041" spans="1:5" x14ac:dyDescent="0.25">
      <c r="A1041" s="556" t="s">
        <v>1026</v>
      </c>
      <c r="B1041" s="558">
        <v>800</v>
      </c>
      <c r="C1041" s="556">
        <v>1000</v>
      </c>
      <c r="D1041" s="556">
        <v>6810</v>
      </c>
      <c r="E1041" s="557">
        <f>SUMIFS('Accounting data'!$G$2:$G$37003,'Accounting data'!$H$2:$H$37003,"11*",'Accounting data'!$I$2:$I$37003,"8*",'Accounting data'!$J$2:$J$37003,"1*",'Accounting data'!$K$2:$K$37003,"681*")+SUMIFS('Accounting data'!$G$2:$G$37003,'Accounting data'!$H$2:$H$37003,"12*",'Accounting data'!$I$2:$I$37003,"8*",'Accounting data'!$J$2:$J$37003,"1*",'Accounting data'!$K$2:$K$37003,"681*")+SUMIFS('Accounting data'!$G$2:$G$37003,'Accounting data'!$H$2:$H$37003,"13*",'Accounting data'!$I$2:$I$37003,"8*",'Accounting data'!$J$2:$J$37003,"1*",'Accounting data'!$K$2:$K$37003,"681*")</f>
        <v>0</v>
      </c>
    </row>
    <row r="1042" spans="1:5" x14ac:dyDescent="0.25">
      <c r="A1042" s="556" t="s">
        <v>1026</v>
      </c>
      <c r="B1042" s="558">
        <v>900</v>
      </c>
      <c r="C1042" s="556">
        <v>1000</v>
      </c>
      <c r="D1042" s="556">
        <v>6810</v>
      </c>
      <c r="E1042" s="557">
        <f>SUMIFS('Accounting data'!$G$2:$G$37003,'Accounting data'!$H$2:$H$37003,"11*",'Accounting data'!$I$2:$I$37003,"9*",'Accounting data'!$J$2:$J$37003,"1*",'Accounting data'!$K$2:$K$37003,"681*")+SUMIFS('Accounting data'!$G$2:$G$37003,'Accounting data'!$H$2:$H$37003,"12*",'Accounting data'!$I$2:$I$37003,"9*",'Accounting data'!$J$2:$J$37003,"1*",'Accounting data'!$K$2:$K$37003,"681*")+SUMIFS('Accounting data'!$G$2:$G$37003,'Accounting data'!$H$2:$H$37003,"13*",'Accounting data'!$I$2:$I$37003,"9*",'Accounting data'!$J$2:$J$37003,"1*",'Accounting data'!$K$2:$K$37003,"681*")</f>
        <v>0</v>
      </c>
    </row>
    <row r="1043" spans="1:5" x14ac:dyDescent="0.25">
      <c r="A1043" s="556" t="s">
        <v>1026</v>
      </c>
      <c r="B1043" s="558">
        <v>700</v>
      </c>
      <c r="C1043" s="556">
        <v>2000</v>
      </c>
      <c r="D1043" s="556">
        <v>6810</v>
      </c>
      <c r="E1043" s="557">
        <f>SUMIFS('Accounting data'!$G$2:$G$37003,'Accounting data'!$H$2:$H$37003,"11*",'Accounting data'!$I$2:$I$37003,"7*",'Accounting data'!$J$2:$J$37003,"2*",'Accounting data'!$K$2:$K$37003,"681*")+SUMIFS('Accounting data'!$G$2:$G$37003,'Accounting data'!$H$2:$H$37003,"12*",'Accounting data'!$I$2:$I$37003,"7*",'Accounting data'!$J$2:$J$37003,"2*",'Accounting data'!$K$2:$K$37003,"681*")+SUMIFS('Accounting data'!$G$2:$G$37003,'Accounting data'!$H$2:$H$37003,"13*",'Accounting data'!$I$2:$I$37003,"7*",'Accounting data'!$J$2:$J$37003,"2*",'Accounting data'!$K$2:$K$37003,"681*")</f>
        <v>0</v>
      </c>
    </row>
    <row r="1044" spans="1:5" x14ac:dyDescent="0.25">
      <c r="A1044" s="556" t="s">
        <v>1026</v>
      </c>
      <c r="B1044" s="558">
        <v>800</v>
      </c>
      <c r="C1044" s="556">
        <v>2000</v>
      </c>
      <c r="D1044" s="556">
        <v>6810</v>
      </c>
      <c r="E1044" s="557">
        <f>SUMIFS('Accounting data'!$G$2:$G$37003,'Accounting data'!$H$2:$H$37003,"11*",'Accounting data'!$I$2:$I$37003,"8*",'Accounting data'!$J$2:$J$37003,"2*",'Accounting data'!$K$2:$K$37003,"681*")+SUMIFS('Accounting data'!$G$2:$G$37003,'Accounting data'!$H$2:$H$37003,"12*",'Accounting data'!$I$2:$I$37003,"8*",'Accounting data'!$J$2:$J$37003,"2*",'Accounting data'!$K$2:$K$37003,"681*")+SUMIFS('Accounting data'!$G$2:$G$37003,'Accounting data'!$H$2:$H$37003,"13*",'Accounting data'!$I$2:$I$37003,"8*",'Accounting data'!$J$2:$J$37003,"2*",'Accounting data'!$K$2:$K$37003,"681*")</f>
        <v>0</v>
      </c>
    </row>
    <row r="1045" spans="1:5" x14ac:dyDescent="0.25">
      <c r="A1045" s="556" t="s">
        <v>1026</v>
      </c>
      <c r="B1045" s="558">
        <v>900</v>
      </c>
      <c r="C1045" s="556">
        <v>2000</v>
      </c>
      <c r="D1045" s="556">
        <v>6810</v>
      </c>
      <c r="E1045" s="557">
        <f>SUMIFS('Accounting data'!$G$2:$G$37003,'Accounting data'!$H$2:$H$37003,"11*",'Accounting data'!$I$2:$I$37003,"9*",'Accounting data'!$J$2:$J$37003,"2*",'Accounting data'!$K$2:$K$37003,"681*")+SUMIFS('Accounting data'!$G$2:$G$37003,'Accounting data'!$H$2:$H$37003,"12*",'Accounting data'!$I$2:$I$37003,"9*",'Accounting data'!$J$2:$J$37003,"2*",'Accounting data'!$K$2:$K$37003,"681*")+SUMIFS('Accounting data'!$G$2:$G$37003,'Accounting data'!$H$2:$H$37003,"13*",'Accounting data'!$I$2:$I$37003,"9*",'Accounting data'!$J$2:$J$37003,"2*",'Accounting data'!$K$2:$K$37003,"681*")</f>
        <v>0</v>
      </c>
    </row>
    <row r="1046" spans="1:5" x14ac:dyDescent="0.25">
      <c r="A1046" s="556" t="s">
        <v>1026</v>
      </c>
      <c r="B1046" s="558">
        <v>700</v>
      </c>
      <c r="C1046" s="556">
        <v>3000</v>
      </c>
      <c r="D1046" s="556">
        <v>6810</v>
      </c>
      <c r="E1046" s="557">
        <f>SUMIFS('Accounting data'!$G$2:$G$37003,'Accounting data'!$H$2:$H$37003,"11*",'Accounting data'!$I$2:$I$37003,"7*",'Accounting data'!$J$2:$J$37003,"3*",'Accounting data'!$K$2:$K$37003,"681*")+SUMIFS('Accounting data'!$G$2:$G$37003,'Accounting data'!$H$2:$H$37003,"12*",'Accounting data'!$I$2:$I$37003,"7*",'Accounting data'!$J$2:$J$37003,"3*",'Accounting data'!$K$2:$K$37003,"681*")+SUMIFS('Accounting data'!$G$2:$G$37003,'Accounting data'!$H$2:$H$37003,"13*",'Accounting data'!$I$2:$I$37003,"7*",'Accounting data'!$J$2:$J$37003,"3*",'Accounting data'!$K$2:$K$37003,"681*")</f>
        <v>0</v>
      </c>
    </row>
    <row r="1047" spans="1:5" x14ac:dyDescent="0.25">
      <c r="A1047" s="556" t="s">
        <v>1026</v>
      </c>
      <c r="B1047" s="558">
        <v>800</v>
      </c>
      <c r="C1047" s="556">
        <v>3000</v>
      </c>
      <c r="D1047" s="556">
        <v>6810</v>
      </c>
      <c r="E1047" s="557">
        <f>SUMIFS('Accounting data'!$G$2:$G$37003,'Accounting data'!$H$2:$H$37003,"11*",'Accounting data'!$I$2:$I$37003,"8*",'Accounting data'!$J$2:$J$37003,"3*",'Accounting data'!$K$2:$K$37003,"681*")+SUMIFS('Accounting data'!$G$2:$G$37003,'Accounting data'!$H$2:$H$37003,"12*",'Accounting data'!$I$2:$I$37003,"8*",'Accounting data'!$J$2:$J$37003,"3*",'Accounting data'!$K$2:$K$37003,"681*")+SUMIFS('Accounting data'!$G$2:$G$37003,'Accounting data'!$H$2:$H$37003,"13*",'Accounting data'!$I$2:$I$37003,"8*",'Accounting data'!$J$2:$J$37003,"3*",'Accounting data'!$K$2:$K$37003,"681*")</f>
        <v>0</v>
      </c>
    </row>
    <row r="1048" spans="1:5" x14ac:dyDescent="0.25">
      <c r="A1048" s="556" t="s">
        <v>1026</v>
      </c>
      <c r="B1048" s="558">
        <v>900</v>
      </c>
      <c r="C1048" s="556">
        <v>3000</v>
      </c>
      <c r="D1048" s="556">
        <v>6810</v>
      </c>
      <c r="E1048" s="557">
        <f>SUMIFS('Accounting data'!$G$2:$G$37003,'Accounting data'!$H$2:$H$37003,"11*",'Accounting data'!$I$2:$I$37003,"9*",'Accounting data'!$J$2:$J$37003,"3*",'Accounting data'!$K$2:$K$37003,"681*")+SUMIFS('Accounting data'!$G$2:$G$37003,'Accounting data'!$H$2:$H$37003,"12*",'Accounting data'!$I$2:$I$37003,"9*",'Accounting data'!$J$2:$J$37003,"3*",'Accounting data'!$K$2:$K$37003,"681*")+SUMIFS('Accounting data'!$G$2:$G$37003,'Accounting data'!$H$2:$H$37003,"13*",'Accounting data'!$I$2:$I$37003,"9*",'Accounting data'!$J$2:$J$37003,"3*",'Accounting data'!$K$2:$K$37003,"681*")</f>
        <v>0</v>
      </c>
    </row>
    <row r="1049" spans="1:5" x14ac:dyDescent="0.25">
      <c r="A1049" s="559" t="s">
        <v>1087</v>
      </c>
      <c r="B1049" s="559"/>
      <c r="C1049" s="559"/>
      <c r="D1049" s="559"/>
      <c r="E1049" s="561">
        <f>(E1037+E1038+E1039)-(E1040+E1041+E1042+E1043+E1044+E1045+E1046+E1047+E1048)</f>
        <v>0</v>
      </c>
    </row>
    <row r="1050" spans="1:5" x14ac:dyDescent="0.25">
      <c r="A1050" s="556" t="s">
        <v>1010</v>
      </c>
      <c r="B1050" s="556" t="s">
        <v>1010</v>
      </c>
      <c r="C1050" s="556">
        <v>2300</v>
      </c>
      <c r="D1050" s="565">
        <v>6820</v>
      </c>
      <c r="E1050" s="557">
        <f>SUMIFS('Accounting data'!$G$2:$G$37003,'Accounting data'!$J$2:$J$37003,"23*",'Accounting data'!$K$2:$K$37003,"682*")</f>
        <v>0</v>
      </c>
    </row>
    <row r="1051" spans="1:5" x14ac:dyDescent="0.25">
      <c r="A1051" s="556" t="s">
        <v>1011</v>
      </c>
      <c r="B1051" s="556" t="s">
        <v>1010</v>
      </c>
      <c r="C1051" s="556">
        <v>2300</v>
      </c>
      <c r="D1051" s="565">
        <v>6820</v>
      </c>
      <c r="E1051" s="557">
        <f>SUMIFS('Accounting data'!$G$2:$G$37003,'Accounting data'!$H$2:$H$37003,"9999*",'Accounting data'!$J$2:$J$37003,"23*",'Accounting data'!$K$2:$K$37003,"682*")</f>
        <v>0</v>
      </c>
    </row>
    <row r="1052" spans="1:5" x14ac:dyDescent="0.25">
      <c r="A1052" s="556" t="s">
        <v>1010</v>
      </c>
      <c r="B1052" s="556" t="s">
        <v>1012</v>
      </c>
      <c r="C1052" s="556">
        <v>2300</v>
      </c>
      <c r="D1052" s="565">
        <v>6820</v>
      </c>
      <c r="E1052" s="557">
        <f>SUMIFS('Accounting data'!$G$2:$G$37003,'Accounting data'!$I$2:$I$37003,"7*",'Accounting data'!$J$2:$J$37003,"23*",'Accounting data'!$K$2:$K$37003,"682*")+SUMIFS('Accounting data'!$G$2:$G$37003,'Accounting data'!$I$2:$I$37003,"8*",'Accounting data'!$J$2:$J$37003,"23*",'Accounting data'!$K$2:$K$37003,"682*")+SUMIFS('Accounting data'!$G$2:$G$37003,'Accounting data'!$I$2:$I$37003,"9*",'Accounting data'!$J$2:$J$37003,"23*",'Accounting data'!$K$2:$K$37003,"682*")</f>
        <v>0</v>
      </c>
    </row>
    <row r="1053" spans="1:5" x14ac:dyDescent="0.25">
      <c r="A1053" s="558" t="s">
        <v>1011</v>
      </c>
      <c r="B1053" s="556" t="s">
        <v>1012</v>
      </c>
      <c r="C1053" s="556">
        <v>2300</v>
      </c>
      <c r="D1053" s="565">
        <v>6820</v>
      </c>
      <c r="E1053" s="557">
        <f>SUMIFS('Accounting data'!$G$2:$G$37003,'Accounting data'!$H$2:$H$37003,"9999*",'Accounting data'!$I$2:$I$37003,"7*",'Accounting data'!$J$2:$J$37003,"23*",'Accounting data'!$K$2:$K$37003,"682*")+SUMIFS('Accounting data'!$G$2:$G$37003,'Accounting data'!$H$2:$H$37003,"9999*",'Accounting data'!$I$2:$I$37003,"8*",'Accounting data'!$J$2:$J$37003,"23*",'Accounting data'!$K$2:$K$37003,"682*")+SUMIFS('Accounting data'!$G$2:$G$37003,'Accounting data'!$H$2:$H$37003,"9999*",'Accounting data'!$I$2:$I$37003,"9*",'Accounting data'!$J$2:$J$37003,"23*",'Accounting data'!$K$2:$K$37003,"682*")</f>
        <v>0</v>
      </c>
    </row>
    <row r="1054" spans="1:5" x14ac:dyDescent="0.25">
      <c r="A1054" s="556"/>
      <c r="B1054" s="556"/>
      <c r="C1054" s="556"/>
      <c r="D1054" s="565"/>
      <c r="E1054" s="557"/>
    </row>
    <row r="1055" spans="1:5" x14ac:dyDescent="0.25">
      <c r="A1055" s="556"/>
      <c r="B1055" s="556"/>
      <c r="C1055" s="556"/>
      <c r="D1055" s="565"/>
      <c r="E1055" s="557"/>
    </row>
    <row r="1056" spans="1:5" x14ac:dyDescent="0.25">
      <c r="A1056" s="559" t="s">
        <v>1088</v>
      </c>
      <c r="B1056" s="559"/>
      <c r="C1056" s="565"/>
      <c r="D1056" s="559"/>
      <c r="E1056" s="561">
        <f>(E1050-E1051-E1052)+(E1053+E1054+E1055)</f>
        <v>0</v>
      </c>
    </row>
    <row r="1057" spans="1:5" x14ac:dyDescent="0.25">
      <c r="A1057" s="556" t="s">
        <v>1026</v>
      </c>
      <c r="B1057" s="556" t="s">
        <v>1010</v>
      </c>
      <c r="C1057" s="556">
        <v>2300</v>
      </c>
      <c r="D1057" s="556">
        <v>6820</v>
      </c>
      <c r="E1057" s="557">
        <f>SUMIFS('Accounting data'!$G$2:$G$37003,'Accounting data'!$H$2:$H$37003,"11*",'Accounting data'!$J$2:$J$37003,"23*",'Accounting data'!$K$2:$K$37003,"682*")+SUMIFS('Accounting data'!$G$2:$G$37003,'Accounting data'!$H$2:$H$37003,"12*",'Accounting data'!$J$2:$J$37003,"23*",'Accounting data'!$K$2:$K$37003,"682*")+SUMIFS('Accounting data'!$G$2:$G$37003,'Accounting data'!$H$2:$H$37003,"13*",'Accounting data'!$J$2:$J$37003,"23*",'Accounting data'!$K$2:$K$37003,"682*")+SUMIFS('Accounting data'!$G$2:$G$37003,'Accounting data'!$H$2:$H$37003,"639",'Accounting data'!$J$2:$J$37003,"23*",'Accounting data'!$K$2:$K$37003,"682*")+SUMIFS('Accounting data'!$G$2:$G$37003,'Accounting data'!$H$2:$H$37003,"699",'Accounting data'!$J$2:$J$37003,"23*",'Accounting data'!$K$2:$K$37003,"682*")+SUMIFS('Accounting data'!$G$2:$G$37003,'Accounting data'!$H$2:$H$37003,"72?",'Accounting data'!$J$2:$J$37003,"23*",'Accounting data'!$K$2:$K$37003,"682*")</f>
        <v>0</v>
      </c>
    </row>
    <row r="1058" spans="1:5" x14ac:dyDescent="0.25">
      <c r="A1058" s="556" t="s">
        <v>1026</v>
      </c>
      <c r="B1058" s="558">
        <v>700</v>
      </c>
      <c r="C1058" s="556">
        <v>2300</v>
      </c>
      <c r="D1058" s="556">
        <v>6820</v>
      </c>
      <c r="E1058" s="557">
        <f>SUMIFS('Accounting data'!$G$2:$G$37003,'Accounting data'!$H$2:$H$37003,"11*",'Accounting data'!$I$2:$I$37003,"7*",'Accounting data'!$J$2:$J$37003,"23*",'Accounting data'!$K$2:$K$37003,"682*")+SUMIFS('Accounting data'!$G$2:$G$37003,'Accounting data'!$H$2:$H$37003,"12*",'Accounting data'!$I$2:$I$37003,"7*",'Accounting data'!$J$2:$J$37003,"23*",'Accounting data'!$K$2:$K$37003,"682*")+SUMIFS('Accounting data'!$G$2:$G$37003,'Accounting data'!$H$2:$H$37003,"13*",'Accounting data'!$I$2:$I$37003,"7*",'Accounting data'!$J$2:$J$37003,"23*",'Accounting data'!$K$2:$K$37003,"682*")+SUMIFS('Accounting data'!$G$2:$G$37003,'Accounting data'!$H$2:$H$37003,"639",'Accounting data'!$I$2:$I$37003,"7*",'Accounting data'!$J$2:$J$37003,"23*",'Accounting data'!$K$2:$K$37003,"682*")+SUMIFS('Accounting data'!$G$2:$G$37003,'Accounting data'!$H$2:$H$37003,"699",'Accounting data'!$I$2:$I$37003,"7*",'Accounting data'!$J$2:$J$37003,"23*",'Accounting data'!$K$2:$K$37003,"682*")+SUMIFS('Accounting data'!$G$2:$G$37003,'Accounting data'!$H$2:$H$37003,"72?",'Accounting data'!$I$2:$I$37003,"7*",'Accounting data'!$J$2:$J$37003,"23*",'Accounting data'!$K$2:$K$37003,"682*")</f>
        <v>0</v>
      </c>
    </row>
    <row r="1059" spans="1:5" x14ac:dyDescent="0.25">
      <c r="A1059" s="556" t="s">
        <v>1026</v>
      </c>
      <c r="B1059" s="558">
        <v>800</v>
      </c>
      <c r="C1059" s="556">
        <v>2300</v>
      </c>
      <c r="D1059" s="556">
        <v>6820</v>
      </c>
      <c r="E1059" s="557">
        <f>SUMIFS('Accounting data'!$G$2:$G$37003,'Accounting data'!$H$2:$H$37003,"11*",'Accounting data'!$I$2:$I$37003,"8*",'Accounting data'!$J$2:$J$37003,"23*",'Accounting data'!$K$2:$K$37003,"682*")+SUMIFS('Accounting data'!$G$2:$G$37003,'Accounting data'!$H$2:$H$37003,"12*",'Accounting data'!$I$2:$I$37003,"8*",'Accounting data'!$J$2:$J$37003,"23*",'Accounting data'!$K$2:$K$37003,"682*")+SUMIFS('Accounting data'!$G$2:$G$37003,'Accounting data'!$H$2:$H$37003,"13*",'Accounting data'!$I$2:$I$37003,"8*",'Accounting data'!$J$2:$J$37003,"23*",'Accounting data'!$K$2:$K$37003,"682*")+SUMIFS('Accounting data'!$G$2:$G$37003,'Accounting data'!$H$2:$H$37003,"639",'Accounting data'!$I$2:$I$37003,"8*",'Accounting data'!$J$2:$J$37003,"23*",'Accounting data'!$K$2:$K$37003,"682*")+SUMIFS('Accounting data'!$G$2:$G$37003,'Accounting data'!$H$2:$H$37003,"699",'Accounting data'!$I$2:$I$37003,"8*",'Accounting data'!$J$2:$J$37003,"23*",'Accounting data'!$K$2:$K$37003,"682*")+SUMIFS('Accounting data'!$G$2:$G$37003,'Accounting data'!$H$2:$H$37003,"72?",'Accounting data'!$I$2:$I$37003,"8*",'Accounting data'!$J$2:$J$37003,"23*",'Accounting data'!$K$2:$K$37003,"682*")</f>
        <v>0</v>
      </c>
    </row>
    <row r="1060" spans="1:5" x14ac:dyDescent="0.25">
      <c r="A1060" s="556" t="s">
        <v>1026</v>
      </c>
      <c r="B1060" s="558">
        <v>900</v>
      </c>
      <c r="C1060" s="556">
        <v>2300</v>
      </c>
      <c r="D1060" s="556">
        <v>6820</v>
      </c>
      <c r="E1060" s="557">
        <f>SUMIFS('Accounting data'!$G$2:$G$37003,'Accounting data'!$H$2:$H$37003,"11*",'Accounting data'!$I$2:$I$37003,"9*",'Accounting data'!$J$2:$J$37003,"23*",'Accounting data'!$K$2:$K$37003,"682*")+SUMIFS('Accounting data'!$G$2:$G$37003,'Accounting data'!$H$2:$H$37003,"12*",'Accounting data'!$I$2:$I$37003,"9*",'Accounting data'!$J$2:$J$37003,"23*",'Accounting data'!$K$2:$K$37003,"682*")+SUMIFS('Accounting data'!$G$2:$G$37003,'Accounting data'!$H$2:$H$37003,"13*",'Accounting data'!$I$2:$I$37003,"9*",'Accounting data'!$J$2:$J$37003,"23*",'Accounting data'!$K$2:$K$37003,"682*")+SUMIFS('Accounting data'!$G$2:$G$37003,'Accounting data'!$H$2:$H$37003,"639",'Accounting data'!$I$2:$I$37003,"9*",'Accounting data'!$J$2:$J$37003,"23*",'Accounting data'!$K$2:$K$37003,"682*")+SUMIFS('Accounting data'!$G$2:$G$37003,'Accounting data'!$H$2:$H$37003,"699",'Accounting data'!$I$2:$I$37003,"9*",'Accounting data'!$J$2:$J$37003,"23*",'Accounting data'!$K$2:$K$37003,"682*")+SUMIFS('Accounting data'!$G$2:$G$37003,'Accounting data'!$H$2:$H$37003,"72?",'Accounting data'!$I$2:$I$37003,"9*",'Accounting data'!$J$2:$J$37003,"23*",'Accounting data'!$K$2:$K$37003,"682*")</f>
        <v>0</v>
      </c>
    </row>
    <row r="1061" spans="1:5" x14ac:dyDescent="0.25">
      <c r="A1061" s="559" t="s">
        <v>1089</v>
      </c>
      <c r="B1061" s="559"/>
      <c r="C1061" s="559"/>
      <c r="D1061" s="559"/>
      <c r="E1061" s="561">
        <f>E1057-E1058-E1059-E1060</f>
        <v>0</v>
      </c>
    </row>
    <row r="1062" spans="1:5" x14ac:dyDescent="0.25">
      <c r="A1062" s="556"/>
      <c r="B1062" s="556"/>
      <c r="C1062" s="556"/>
      <c r="D1062" s="556"/>
      <c r="E1062" s="557"/>
    </row>
    <row r="1063" spans="1:5" x14ac:dyDescent="0.25">
      <c r="A1063" s="556"/>
      <c r="B1063" s="556"/>
      <c r="C1063" s="556"/>
      <c r="D1063" s="556"/>
      <c r="E1063" s="557"/>
    </row>
    <row r="1064" spans="1:5" x14ac:dyDescent="0.25">
      <c r="A1064" s="556"/>
      <c r="B1064" s="556"/>
      <c r="C1064" s="556"/>
      <c r="D1064" s="556"/>
      <c r="E1064" s="557"/>
    </row>
    <row r="1065" spans="1:5" x14ac:dyDescent="0.25">
      <c r="A1065" s="558"/>
      <c r="B1065" s="556"/>
      <c r="C1065" s="556"/>
      <c r="D1065" s="556"/>
      <c r="E1065" s="557"/>
    </row>
    <row r="1066" spans="1:5" x14ac:dyDescent="0.25">
      <c r="A1066" s="556"/>
      <c r="B1066" s="556"/>
      <c r="C1066" s="556"/>
      <c r="D1066" s="556"/>
      <c r="E1066" s="557"/>
    </row>
    <row r="1067" spans="1:5" x14ac:dyDescent="0.25">
      <c r="A1067" s="556"/>
      <c r="B1067" s="556"/>
      <c r="C1067" s="556"/>
      <c r="D1067" s="556"/>
      <c r="E1067" s="557"/>
    </row>
    <row r="1068" spans="1:5" x14ac:dyDescent="0.25">
      <c r="A1068" s="559"/>
      <c r="B1068" s="559"/>
      <c r="C1068" s="559"/>
      <c r="D1068" s="559"/>
      <c r="E1068" s="561"/>
    </row>
    <row r="1069" spans="1:5" x14ac:dyDescent="0.25">
      <c r="A1069" s="556"/>
      <c r="B1069" s="556"/>
      <c r="C1069" s="556"/>
      <c r="D1069" s="556"/>
      <c r="E1069" s="557"/>
    </row>
    <row r="1070" spans="1:5" x14ac:dyDescent="0.25">
      <c r="A1070" s="556"/>
      <c r="B1070" s="556"/>
      <c r="C1070" s="556"/>
      <c r="D1070" s="556"/>
      <c r="E1070" s="557"/>
    </row>
    <row r="1071" spans="1:5" x14ac:dyDescent="0.25">
      <c r="A1071" s="556"/>
      <c r="B1071" s="556"/>
      <c r="C1071" s="556"/>
      <c r="D1071" s="556"/>
      <c r="E1071" s="557"/>
    </row>
    <row r="1072" spans="1:5" x14ac:dyDescent="0.25">
      <c r="A1072" s="558"/>
      <c r="B1072" s="556"/>
      <c r="C1072" s="556"/>
      <c r="D1072" s="556"/>
      <c r="E1072" s="557"/>
    </row>
    <row r="1073" spans="1:5" x14ac:dyDescent="0.25">
      <c r="A1073" s="556"/>
      <c r="B1073" s="556"/>
      <c r="C1073" s="556"/>
      <c r="D1073" s="556"/>
      <c r="E1073" s="557"/>
    </row>
    <row r="1074" spans="1:5" x14ac:dyDescent="0.25">
      <c r="A1074" s="556"/>
      <c r="B1074" s="556"/>
      <c r="C1074" s="556"/>
      <c r="D1074" s="556"/>
      <c r="E1074" s="557"/>
    </row>
    <row r="1075" spans="1:5" x14ac:dyDescent="0.25">
      <c r="A1075" s="559"/>
      <c r="B1075" s="559"/>
      <c r="C1075" s="559"/>
      <c r="D1075" s="559"/>
      <c r="E1075" s="561"/>
    </row>
    <row r="1076" spans="1:5" x14ac:dyDescent="0.25">
      <c r="A1076" s="556" t="s">
        <v>1010</v>
      </c>
      <c r="B1076" s="556" t="s">
        <v>1010</v>
      </c>
      <c r="C1076" s="556">
        <v>2500</v>
      </c>
      <c r="D1076" s="565">
        <v>6850</v>
      </c>
      <c r="E1076" s="557">
        <f>SUMIFS('Accounting data'!$G$2:$G$37003,'Accounting data'!$J$2:$J$37003,"25*",'Accounting data'!$K$2:$K$37003,"685*")</f>
        <v>0</v>
      </c>
    </row>
    <row r="1077" spans="1:5" x14ac:dyDescent="0.25">
      <c r="A1077" s="556" t="s">
        <v>1011</v>
      </c>
      <c r="B1077" s="556" t="s">
        <v>1010</v>
      </c>
      <c r="C1077" s="556">
        <v>2500</v>
      </c>
      <c r="D1077" s="565">
        <v>6850</v>
      </c>
      <c r="E1077" s="557">
        <f>SUMIFS('Accounting data'!$G$2:$G$37003,'Accounting data'!$H$2:$H$37003,"9999*",'Accounting data'!$J$2:$J$37003,"25*",'Accounting data'!$K$2:$K$37003,"685*")</f>
        <v>0</v>
      </c>
    </row>
    <row r="1078" spans="1:5" x14ac:dyDescent="0.25">
      <c r="A1078" s="556" t="s">
        <v>1010</v>
      </c>
      <c r="B1078" s="556" t="s">
        <v>1012</v>
      </c>
      <c r="C1078" s="556">
        <v>2500</v>
      </c>
      <c r="D1078" s="565">
        <v>6850</v>
      </c>
      <c r="E1078" s="557">
        <f>SUMIFS('Accounting data'!$G$2:$G$37003,'Accounting data'!$I$2:$I$37003,"7*",'Accounting data'!$J$2:$J$37003,"25*",'Accounting data'!$K$2:$K$37003,"685*")+SUMIFS('Accounting data'!$G$2:$G$37003,'Accounting data'!$I$2:$I$37003,"8*",'Accounting data'!$J$2:$J$37003,"25*",'Accounting data'!$K$2:$K$37003,"685*")+SUMIFS('Accounting data'!$G$2:$G$37003,'Accounting data'!$I$2:$I$37003,"9*",'Accounting data'!$J$2:$J$37003,"25*",'Accounting data'!$K$2:$K$37003,"685*")</f>
        <v>0</v>
      </c>
    </row>
    <row r="1079" spans="1:5" x14ac:dyDescent="0.25">
      <c r="A1079" s="558" t="s">
        <v>1011</v>
      </c>
      <c r="B1079" s="556" t="s">
        <v>1012</v>
      </c>
      <c r="C1079" s="556">
        <v>2500</v>
      </c>
      <c r="D1079" s="565">
        <v>6850</v>
      </c>
      <c r="E1079" s="557">
        <f>SUMIFS('Accounting data'!$G$2:$G$37003,'Accounting data'!$H$2:$H$37003,"9999*",'Accounting data'!$I$2:$I$37003,"7*",'Accounting data'!$J$2:$J$37003,"25*",'Accounting data'!$K$2:$K$37003,"685*")+SUMIFS('Accounting data'!$G$2:$G$37003,'Accounting data'!$H$2:$H$37003,"9999*",'Accounting data'!$I$2:$I$37003,"8*",'Accounting data'!$J$2:$J$37003,"25*",'Accounting data'!$K$2:$K$37003,"685*")+SUMIFS('Accounting data'!$G$2:$G$37003,'Accounting data'!$H$2:$H$37003,"9999*",'Accounting data'!$I$2:$I$37003,"9*",'Accounting data'!$J$2:$J$37003,"25*",'Accounting data'!$K$2:$K$37003,"685*")</f>
        <v>0</v>
      </c>
    </row>
    <row r="1080" spans="1:5" x14ac:dyDescent="0.25">
      <c r="A1080" s="556"/>
      <c r="B1080" s="556"/>
      <c r="C1080" s="556"/>
      <c r="D1080" s="565"/>
      <c r="E1080" s="557"/>
    </row>
    <row r="1081" spans="1:5" x14ac:dyDescent="0.25">
      <c r="A1081" s="556"/>
      <c r="B1081" s="556"/>
      <c r="C1081" s="556"/>
      <c r="D1081" s="565"/>
      <c r="E1081" s="557"/>
    </row>
    <row r="1082" spans="1:5" x14ac:dyDescent="0.25">
      <c r="A1082" s="559" t="s">
        <v>1090</v>
      </c>
      <c r="B1082" s="559"/>
      <c r="C1082" s="559"/>
      <c r="D1082" s="559"/>
      <c r="E1082" s="561">
        <f>(E1076-E1077-E1078)+(E1079+E1080+E1081)</f>
        <v>0</v>
      </c>
    </row>
    <row r="1083" spans="1:5" x14ac:dyDescent="0.25">
      <c r="A1083" s="556"/>
      <c r="B1083" s="556"/>
      <c r="C1083" s="556"/>
      <c r="D1083" s="565"/>
      <c r="E1083" s="557"/>
    </row>
    <row r="1084" spans="1:5" x14ac:dyDescent="0.25">
      <c r="A1084" s="556"/>
      <c r="B1084" s="556"/>
      <c r="C1084" s="556"/>
      <c r="D1084" s="565"/>
      <c r="E1084" s="557"/>
    </row>
    <row r="1085" spans="1:5" x14ac:dyDescent="0.25">
      <c r="A1085" s="556"/>
      <c r="B1085" s="556"/>
      <c r="C1085" s="556"/>
      <c r="D1085" s="565"/>
      <c r="E1085" s="557"/>
    </row>
    <row r="1086" spans="1:5" x14ac:dyDescent="0.25">
      <c r="A1086" s="558"/>
      <c r="B1086" s="556"/>
      <c r="C1086" s="556"/>
      <c r="D1086" s="565"/>
      <c r="E1086" s="557"/>
    </row>
    <row r="1087" spans="1:5" x14ac:dyDescent="0.25">
      <c r="A1087" s="556"/>
      <c r="B1087" s="556"/>
      <c r="C1087" s="556"/>
      <c r="D1087" s="565"/>
      <c r="E1087" s="557"/>
    </row>
    <row r="1088" spans="1:5" x14ac:dyDescent="0.25">
      <c r="A1088" s="556"/>
      <c r="B1088" s="556"/>
      <c r="C1088" s="556"/>
      <c r="D1088" s="565"/>
      <c r="E1088" s="557"/>
    </row>
    <row r="1089" spans="1:5" x14ac:dyDescent="0.25">
      <c r="A1089" s="559"/>
      <c r="B1089" s="559"/>
      <c r="C1089" s="559"/>
      <c r="D1089" s="559"/>
      <c r="E1089" s="561"/>
    </row>
    <row r="1090" spans="1:5" x14ac:dyDescent="0.25">
      <c r="A1090" s="556"/>
      <c r="B1090" s="556"/>
      <c r="C1090" s="556"/>
      <c r="D1090" s="565"/>
      <c r="E1090" s="557"/>
    </row>
    <row r="1091" spans="1:5" x14ac:dyDescent="0.25">
      <c r="A1091" s="556"/>
      <c r="B1091" s="556"/>
      <c r="C1091" s="556"/>
      <c r="D1091" s="565"/>
      <c r="E1091" s="557"/>
    </row>
    <row r="1092" spans="1:5" x14ac:dyDescent="0.25">
      <c r="A1092" s="556"/>
      <c r="B1092" s="556"/>
      <c r="C1092" s="556"/>
      <c r="D1092" s="565"/>
      <c r="E1092" s="557"/>
    </row>
    <row r="1093" spans="1:5" x14ac:dyDescent="0.25">
      <c r="A1093" s="558"/>
      <c r="B1093" s="556"/>
      <c r="C1093" s="556"/>
      <c r="D1093" s="565"/>
      <c r="E1093" s="557"/>
    </row>
    <row r="1094" spans="1:5" x14ac:dyDescent="0.25">
      <c r="A1094" s="556"/>
      <c r="B1094" s="556"/>
      <c r="C1094" s="556"/>
      <c r="D1094" s="565"/>
      <c r="E1094" s="557"/>
    </row>
    <row r="1095" spans="1:5" x14ac:dyDescent="0.25">
      <c r="A1095" s="556"/>
      <c r="B1095" s="556"/>
      <c r="C1095" s="556"/>
      <c r="D1095" s="565"/>
      <c r="E1095" s="557"/>
    </row>
    <row r="1096" spans="1:5" x14ac:dyDescent="0.25">
      <c r="A1096" s="559"/>
      <c r="B1096" s="559"/>
      <c r="C1096" s="559"/>
      <c r="D1096" s="559"/>
      <c r="E1096" s="561"/>
    </row>
    <row r="1097" spans="1:5" x14ac:dyDescent="0.25">
      <c r="A1097" s="556"/>
      <c r="B1097" s="556"/>
      <c r="C1097" s="556"/>
      <c r="D1097" s="565"/>
      <c r="E1097" s="557"/>
    </row>
    <row r="1098" spans="1:5" x14ac:dyDescent="0.25">
      <c r="A1098" s="556"/>
      <c r="B1098" s="556"/>
      <c r="C1098" s="556"/>
      <c r="D1098" s="565"/>
      <c r="E1098" s="557"/>
    </row>
    <row r="1099" spans="1:5" x14ac:dyDescent="0.25">
      <c r="A1099" s="556"/>
      <c r="B1099" s="556"/>
      <c r="C1099" s="556"/>
      <c r="D1099" s="565"/>
      <c r="E1099" s="557"/>
    </row>
    <row r="1100" spans="1:5" x14ac:dyDescent="0.25">
      <c r="A1100" s="558"/>
      <c r="B1100" s="556"/>
      <c r="C1100" s="556"/>
      <c r="D1100" s="565"/>
      <c r="E1100" s="557"/>
    </row>
    <row r="1101" spans="1:5" x14ac:dyDescent="0.25">
      <c r="A1101" s="556"/>
      <c r="B1101" s="556"/>
      <c r="C1101" s="556"/>
      <c r="D1101" s="565"/>
      <c r="E1101" s="557"/>
    </row>
    <row r="1102" spans="1:5" x14ac:dyDescent="0.25">
      <c r="A1102" s="556"/>
      <c r="B1102" s="556"/>
      <c r="C1102" s="556"/>
      <c r="D1102" s="565"/>
      <c r="E1102" s="557"/>
    </row>
    <row r="1103" spans="1:5" x14ac:dyDescent="0.25">
      <c r="A1103" s="559"/>
      <c r="B1103" s="559"/>
      <c r="C1103" s="559"/>
      <c r="D1103" s="559"/>
      <c r="E1103" s="561"/>
    </row>
    <row r="1104" spans="1:5" x14ac:dyDescent="0.25">
      <c r="A1104" s="559"/>
      <c r="B1104" s="559"/>
      <c r="C1104" s="559"/>
      <c r="D1104" s="559"/>
      <c r="E1104" s="561"/>
    </row>
    <row r="1105" spans="1:5" x14ac:dyDescent="0.25">
      <c r="A1105" s="556" t="s">
        <v>1026</v>
      </c>
      <c r="B1105" s="556" t="s">
        <v>1010</v>
      </c>
      <c r="C1105" s="565">
        <v>2500</v>
      </c>
      <c r="D1105" s="556">
        <v>6850</v>
      </c>
      <c r="E1105" s="557">
        <f>SUMIFS('Accounting data'!$G$2:$G$37003,'Accounting data'!$H$2:$H$37003,"11*",'Accounting data'!$J$2:$J$37003,"25*",'Accounting data'!$K$2:$K$37003,"685*")+SUMIFS('Accounting data'!$G$2:$G$37003,'Accounting data'!$H$2:$H$37003,"12*",'Accounting data'!$J$2:$J$37003,"25*",'Accounting data'!$K$2:$K$37003,"685*")+SUMIFS('Accounting data'!$G$2:$G$37003,'Accounting data'!$H$2:$H$37003,"13*",'Accounting data'!$J$2:$J$37003,"25*",'Accounting data'!$K$2:$K$37003,"685*")</f>
        <v>0</v>
      </c>
    </row>
    <row r="1106" spans="1:5" x14ac:dyDescent="0.25">
      <c r="A1106" s="556" t="s">
        <v>1026</v>
      </c>
      <c r="B1106" s="558">
        <v>700</v>
      </c>
      <c r="C1106" s="556">
        <v>2500</v>
      </c>
      <c r="D1106" s="556">
        <v>6850</v>
      </c>
      <c r="E1106" s="557">
        <f>SUMIFS('Accounting data'!$G$2:$G$37003,'Accounting data'!$H$2:$H$37003,"11*",'Accounting data'!$I$2:$I$37003,"7*",'Accounting data'!$J$2:$J$37003,"25*",'Accounting data'!$K$2:$K$37003,"685*")+SUMIFS('Accounting data'!$G$2:$G$37003,'Accounting data'!$H$2:$H$37003,"12*",'Accounting data'!$I$2:$I$37003,"7*",'Accounting data'!$J$2:$J$37003,"25*",'Accounting data'!$K$2:$K$37003,"685*")+SUMIFS('Accounting data'!$G$2:$G$37003,'Accounting data'!$H$2:$H$37003,"13*",'Accounting data'!$I$2:$I$37003,"7*",'Accounting data'!$J$2:$J$37003,"25*",'Accounting data'!$K$2:$K$37003,"685*")</f>
        <v>0</v>
      </c>
    </row>
    <row r="1107" spans="1:5" x14ac:dyDescent="0.25">
      <c r="A1107" s="556" t="s">
        <v>1026</v>
      </c>
      <c r="B1107" s="558">
        <v>800</v>
      </c>
      <c r="C1107" s="556">
        <v>2500</v>
      </c>
      <c r="D1107" s="556">
        <v>6850</v>
      </c>
      <c r="E1107" s="557">
        <f>SUMIFS('Accounting data'!$G$2:$G$37003,'Accounting data'!$H$2:$H$37003,"11*",'Accounting data'!$I$2:$I$37003,"8*",'Accounting data'!$J$2:$J$37003,"25*",'Accounting data'!$K$2:$K$37003,"685*")+SUMIFS('Accounting data'!$G$2:$G$37003,'Accounting data'!$H$2:$H$37003,"12*",'Accounting data'!$I$2:$I$37003,"8*",'Accounting data'!$J$2:$J$37003,"25*",'Accounting data'!$K$2:$K$37003,"685*")+SUMIFS('Accounting data'!$G$2:$G$37003,'Accounting data'!$H$2:$H$37003,"13*",'Accounting data'!$I$2:$I$37003,"8*",'Accounting data'!$J$2:$J$37003,"25*",'Accounting data'!$K$2:$K$37003,"685*")</f>
        <v>0</v>
      </c>
    </row>
    <row r="1108" spans="1:5" x14ac:dyDescent="0.25">
      <c r="A1108" s="556" t="s">
        <v>1026</v>
      </c>
      <c r="B1108" s="558">
        <v>900</v>
      </c>
      <c r="C1108" s="556">
        <v>2500</v>
      </c>
      <c r="D1108" s="556">
        <v>6850</v>
      </c>
      <c r="E1108" s="557">
        <f>SUMIFS('Accounting data'!$G$2:$G$37003,'Accounting data'!$H$2:$H$37003,"11*",'Accounting data'!$I$2:$I$37003,"9*",'Accounting data'!$J$2:$J$37003,"25*",'Accounting data'!$K$2:$K$37003,"685*")+SUMIFS('Accounting data'!$G$2:$G$37003,'Accounting data'!$H$2:$H$37003,"12*",'Accounting data'!$I$2:$I$37003,"9*",'Accounting data'!$J$2:$J$37003,"25*",'Accounting data'!$K$2:$K$37003,"685*")+SUMIFS('Accounting data'!$G$2:$G$37003,'Accounting data'!$H$2:$H$37003,"13*",'Accounting data'!$I$2:$I$37003,"9*",'Accounting data'!$J$2:$J$37003,"25*",'Accounting data'!$K$2:$K$37003,"685*")</f>
        <v>0</v>
      </c>
    </row>
    <row r="1109" spans="1:5" x14ac:dyDescent="0.25">
      <c r="A1109" s="559" t="s">
        <v>1091</v>
      </c>
      <c r="B1109" s="559"/>
      <c r="C1109" s="559"/>
      <c r="D1109" s="559"/>
      <c r="E1109" s="561">
        <f>E1105-(E1106+E1107+E1108)</f>
        <v>0</v>
      </c>
    </row>
    <row r="1110" spans="1:5" x14ac:dyDescent="0.25">
      <c r="A1110" s="556" t="s">
        <v>1010</v>
      </c>
      <c r="B1110" s="556" t="s">
        <v>1010</v>
      </c>
      <c r="C1110" s="556">
        <v>1000</v>
      </c>
      <c r="D1110" s="565">
        <v>6890</v>
      </c>
      <c r="E1110" s="557">
        <f>SUMIFS('Accounting data'!$G$2:$G$37003,'Accounting data'!$J$2:$J$37003,"1*",'Accounting data'!$K$2:$K$37003,"689*")</f>
        <v>0</v>
      </c>
    </row>
    <row r="1111" spans="1:5" x14ac:dyDescent="0.25">
      <c r="A1111" s="556" t="s">
        <v>1011</v>
      </c>
      <c r="B1111" s="556" t="s">
        <v>1010</v>
      </c>
      <c r="C1111" s="556">
        <v>1000</v>
      </c>
      <c r="D1111" s="565">
        <v>6890</v>
      </c>
      <c r="E1111" s="557">
        <f>SUMIFS('Accounting data'!$G$2:$G$37003,'Accounting data'!$H$2:$H$37003,"9999*",'Accounting data'!$J$2:$J$37003,"1*",'Accounting data'!$K$2:$K$37003,"689*")</f>
        <v>0</v>
      </c>
    </row>
    <row r="1112" spans="1:5" x14ac:dyDescent="0.25">
      <c r="A1112" s="556" t="s">
        <v>1010</v>
      </c>
      <c r="B1112" s="556" t="s">
        <v>1012</v>
      </c>
      <c r="C1112" s="556">
        <v>1000</v>
      </c>
      <c r="D1112" s="565">
        <v>6890</v>
      </c>
      <c r="E1112" s="557">
        <f>SUMIFS('Accounting data'!$G$2:$G$37003,'Accounting data'!$I$2:$I$37003,"7*",'Accounting data'!$J$2:$J$37003,"1*",'Accounting data'!$K$2:$K$37003,"689*")+SUMIFS('Accounting data'!$G$2:$G$37003,'Accounting data'!$I$2:$I$37003,"8*",'Accounting data'!$J$2:$J$37003,"1*",'Accounting data'!$K$2:$K$37003,"689*")+SUMIFS('Accounting data'!$G$2:$G$37003,'Accounting data'!$I$2:$I$37003,"9*",'Accounting data'!$J$2:$J$37003,"1*",'Accounting data'!$K$2:$K$37003,"689*")</f>
        <v>0</v>
      </c>
    </row>
    <row r="1113" spans="1:5" x14ac:dyDescent="0.25">
      <c r="A1113" s="558" t="s">
        <v>1011</v>
      </c>
      <c r="B1113" s="556" t="s">
        <v>1012</v>
      </c>
      <c r="C1113" s="556">
        <v>1000</v>
      </c>
      <c r="D1113" s="565">
        <v>6890</v>
      </c>
      <c r="E1113" s="557">
        <f>SUMIFS('Accounting data'!$G$2:$G$37003,'Accounting data'!$H$2:$H$37003,"9999*",'Accounting data'!$I$2:$I$37003,"7*",'Accounting data'!$J$2:$J$37003,"1*",'Accounting data'!$K$2:$K$37003,"689*")+SUMIFS('Accounting data'!$G$2:$G$37003,'Accounting data'!$H$2:$H$37003,"9999*",'Accounting data'!$I$2:$I$37003,"8*",'Accounting data'!$J$2:$J$37003,"1*",'Accounting data'!$K$2:$K$37003,"689*")+SUMIFS('Accounting data'!$G$2:$G$37003,'Accounting data'!$H$2:$H$37003,"9999*",'Accounting data'!$I$2:$I$37003,"9*",'Accounting data'!$J$2:$J$37003,"1*",'Accounting data'!$K$2:$K$37003,"689*")</f>
        <v>0</v>
      </c>
    </row>
    <row r="1114" spans="1:5" x14ac:dyDescent="0.25">
      <c r="A1114" s="556"/>
      <c r="B1114" s="556"/>
      <c r="C1114" s="556"/>
      <c r="D1114" s="565"/>
      <c r="E1114" s="557"/>
    </row>
    <row r="1115" spans="1:5" x14ac:dyDescent="0.25">
      <c r="A1115" s="556"/>
      <c r="B1115" s="556"/>
      <c r="C1115" s="556"/>
      <c r="D1115" s="565"/>
      <c r="E1115" s="557"/>
    </row>
    <row r="1116" spans="1:5" x14ac:dyDescent="0.25">
      <c r="A1116" s="559" t="s">
        <v>1092</v>
      </c>
      <c r="B1116" s="559"/>
      <c r="C1116" s="559"/>
      <c r="D1116" s="559"/>
      <c r="E1116" s="561">
        <f>(E1110-E1111-E1112)+(E1113+E1114+E1115)</f>
        <v>0</v>
      </c>
    </row>
    <row r="1117" spans="1:5" x14ac:dyDescent="0.25">
      <c r="A1117" s="556" t="s">
        <v>1010</v>
      </c>
      <c r="B1117" s="556" t="s">
        <v>1010</v>
      </c>
      <c r="C1117" s="556">
        <v>2100</v>
      </c>
      <c r="D1117" s="565">
        <v>6890</v>
      </c>
      <c r="E1117" s="557">
        <f>SUMIFS('Accounting data'!$G$2:$G$37003,'Accounting data'!$J$2:$J$37003,"21*",'Accounting data'!$K$2:$K$37003,"689*")</f>
        <v>0</v>
      </c>
    </row>
    <row r="1118" spans="1:5" x14ac:dyDescent="0.25">
      <c r="A1118" s="556" t="s">
        <v>1011</v>
      </c>
      <c r="B1118" s="556" t="s">
        <v>1010</v>
      </c>
      <c r="C1118" s="556">
        <v>2100</v>
      </c>
      <c r="D1118" s="565">
        <v>6890</v>
      </c>
      <c r="E1118" s="557">
        <f>SUMIFS('Accounting data'!$G$2:$G$37003,'Accounting data'!$H$2:$H$37003,"9999*",'Accounting data'!$J$2:$J$37003,"21*",'Accounting data'!$K$2:$K$37003,"689*")</f>
        <v>0</v>
      </c>
    </row>
    <row r="1119" spans="1:5" x14ac:dyDescent="0.25">
      <c r="A1119" s="556" t="s">
        <v>1010</v>
      </c>
      <c r="B1119" s="556" t="s">
        <v>1012</v>
      </c>
      <c r="C1119" s="556">
        <v>2100</v>
      </c>
      <c r="D1119" s="565">
        <v>6890</v>
      </c>
      <c r="E1119" s="557">
        <f>SUMIFS('Accounting data'!$G$2:$G$37003,'Accounting data'!$H$2:$H$37003,"9999*",'Accounting data'!$J$2:$J$37003,"21*",'Accounting data'!$K$2:$K$37003,"689*")+SUMIFS('Accounting data'!$G$2:$G$37003,'Accounting data'!$H$2:$H$37003,"8*",'Accounting data'!$J$2:$J$37003,"21*",'Accounting data'!$K$2:$K$37003,"689*")+SUMIFS('Accounting data'!$G$2:$G$37003,'Accounting data'!$H$2:$H$37003,"9*",'Accounting data'!$J$2:$J$37003,"21*",'Accounting data'!$K$2:$K$37003,"689*")</f>
        <v>0</v>
      </c>
    </row>
    <row r="1120" spans="1:5" x14ac:dyDescent="0.25">
      <c r="A1120" s="558" t="s">
        <v>1011</v>
      </c>
      <c r="B1120" s="556" t="s">
        <v>1012</v>
      </c>
      <c r="C1120" s="556">
        <v>2100</v>
      </c>
      <c r="D1120" s="565">
        <v>6890</v>
      </c>
      <c r="E1120" s="557">
        <f>SUMIFS('Accounting data'!$G$2:$G$37003,'Accounting data'!$H$2:$H$37003,"9999*",'Accounting data'!$J$2:$J$37003,"21*",'Accounting data'!$K$2:$K$37003,"689*")+SUMIFS('Accounting data'!$G$2:$G$37003,'Accounting data'!$H$2:$H$37003,"8*",'Accounting data'!$J$2:$J$37003,"21*",'Accounting data'!$K$2:$K$37003,"689*")+SUMIFS('Accounting data'!$G$2:$G$37003,'Accounting data'!$H$2:$H$37003,"9*",'Accounting data'!$J$2:$J$37003,"21*",'Accounting data'!$K$2:$K$37003,"689*")</f>
        <v>0</v>
      </c>
    </row>
    <row r="1121" spans="1:5" x14ac:dyDescent="0.25">
      <c r="A1121" s="556"/>
      <c r="B1121" s="556"/>
      <c r="C1121" s="556"/>
      <c r="D1121" s="565"/>
      <c r="E1121" s="557"/>
    </row>
    <row r="1122" spans="1:5" x14ac:dyDescent="0.25">
      <c r="A1122" s="556"/>
      <c r="B1122" s="556"/>
      <c r="C1122" s="556"/>
      <c r="D1122" s="565"/>
      <c r="E1122" s="557"/>
    </row>
    <row r="1123" spans="1:5" x14ac:dyDescent="0.25">
      <c r="A1123" s="559" t="s">
        <v>1093</v>
      </c>
      <c r="B1123" s="559"/>
      <c r="C1123" s="559"/>
      <c r="D1123" s="559"/>
      <c r="E1123" s="561">
        <f>(E1117-E1118-E1119)+(E1120+E1121+E1122)</f>
        <v>0</v>
      </c>
    </row>
    <row r="1124" spans="1:5" x14ac:dyDescent="0.25">
      <c r="A1124" s="556" t="s">
        <v>1010</v>
      </c>
      <c r="B1124" s="556" t="s">
        <v>1010</v>
      </c>
      <c r="C1124" s="556">
        <v>2200</v>
      </c>
      <c r="D1124" s="565">
        <v>6890</v>
      </c>
      <c r="E1124" s="557">
        <f>SUMIFS('Accounting data'!$G$2:$G$37003,'Accounting data'!$J$2:$J$37003,"22*",'Accounting data'!$K$2:$K$37003,"689*")</f>
        <v>0</v>
      </c>
    </row>
    <row r="1125" spans="1:5" x14ac:dyDescent="0.25">
      <c r="A1125" s="556" t="s">
        <v>1011</v>
      </c>
      <c r="B1125" s="556" t="s">
        <v>1010</v>
      </c>
      <c r="C1125" s="556">
        <v>2200</v>
      </c>
      <c r="D1125" s="565">
        <v>6890</v>
      </c>
      <c r="E1125" s="557">
        <f>SUMIFS('Accounting data'!$G$2:$G$37003,'Accounting data'!$H$2:$H$37003,"9999*",'Accounting data'!$J$2:$J$37003,"22*",'Accounting data'!$K$2:$K$37003,"689*")</f>
        <v>0</v>
      </c>
    </row>
    <row r="1126" spans="1:5" x14ac:dyDescent="0.25">
      <c r="A1126" s="556" t="s">
        <v>1010</v>
      </c>
      <c r="B1126" s="556" t="s">
        <v>1012</v>
      </c>
      <c r="C1126" s="556">
        <v>2200</v>
      </c>
      <c r="D1126" s="565">
        <v>6890</v>
      </c>
      <c r="E1126" s="557">
        <f>SUMIFS('Accounting data'!$G$2:$G$37003,'Accounting data'!$I$2:$I$37003,"7*",'Accounting data'!$J$2:$J$37003,"22*",'Accounting data'!$K$2:$K$37003,"689*")+SUMIFS('Accounting data'!$G$2:$G$37003,'Accounting data'!$I$2:$I$37003,"8*",'Accounting data'!$J$2:$J$37003,"22*",'Accounting data'!$K$2:$K$37003,"689*")+SUMIFS('Accounting data'!$G$2:$G$37003,'Accounting data'!$I$2:$I$37003,"9*",'Accounting data'!$J$2:$J$37003,"22*",'Accounting data'!$K$2:$K$37003,"689*")</f>
        <v>0</v>
      </c>
    </row>
    <row r="1127" spans="1:5" x14ac:dyDescent="0.25">
      <c r="A1127" s="558" t="s">
        <v>1011</v>
      </c>
      <c r="B1127" s="556" t="s">
        <v>1012</v>
      </c>
      <c r="C1127" s="556">
        <v>2200</v>
      </c>
      <c r="D1127" s="565">
        <v>6890</v>
      </c>
      <c r="E1127" s="557">
        <f>SUMIFS('Accounting data'!$G$2:$G$37003,'Accounting data'!$H$2:$H$37003,"9999*",'Accounting data'!$I$2:$I$37003,"7*",'Accounting data'!$J$2:$J$37003,"22*",'Accounting data'!$K$2:$K$37003,"689*")+SUMIFS('Accounting data'!$G$2:$G$37003,'Accounting data'!$H$2:$H$37003,"9999*",'Accounting data'!$I$2:$I$37003,"8*",'Accounting data'!$J$2:$J$37003,"22*",'Accounting data'!$K$2:$K$37003,"689*")+SUMIFS('Accounting data'!$G$2:$G$37003,'Accounting data'!$H$2:$H$37003,"9999*",'Accounting data'!$I$2:$I$37003,"9*",'Accounting data'!$J$2:$J$37003,"22*",'Accounting data'!$K$2:$K$37003,"689*")</f>
        <v>0</v>
      </c>
    </row>
    <row r="1128" spans="1:5" x14ac:dyDescent="0.25">
      <c r="A1128" s="556"/>
      <c r="B1128" s="556"/>
      <c r="C1128" s="556"/>
      <c r="D1128" s="565"/>
      <c r="E1128" s="557"/>
    </row>
    <row r="1129" spans="1:5" x14ac:dyDescent="0.25">
      <c r="A1129" s="556"/>
      <c r="B1129" s="556"/>
      <c r="C1129" s="556"/>
      <c r="D1129" s="565"/>
      <c r="E1129" s="557"/>
    </row>
    <row r="1130" spans="1:5" x14ac:dyDescent="0.25">
      <c r="A1130" s="559" t="s">
        <v>1094</v>
      </c>
      <c r="B1130" s="559"/>
      <c r="C1130" s="559"/>
      <c r="D1130" s="559"/>
      <c r="E1130" s="561">
        <f>(E1124-E1125-E1126)+(E1127+E1128+E1129)</f>
        <v>0</v>
      </c>
    </row>
    <row r="1131" spans="1:5" x14ac:dyDescent="0.25">
      <c r="A1131" s="556" t="s">
        <v>1010</v>
      </c>
      <c r="B1131" s="556" t="s">
        <v>1010</v>
      </c>
      <c r="C1131" s="556">
        <v>2300</v>
      </c>
      <c r="D1131" s="565">
        <v>6890</v>
      </c>
      <c r="E1131" s="557">
        <f>SUMIFS('Accounting data'!$G$2:$G$37003,'Accounting data'!$J$2:$J$37003,"23*",'Accounting data'!$K$2:$K$37003,"689*")</f>
        <v>0</v>
      </c>
    </row>
    <row r="1132" spans="1:5" x14ac:dyDescent="0.25">
      <c r="A1132" s="556" t="s">
        <v>1011</v>
      </c>
      <c r="B1132" s="556" t="s">
        <v>1010</v>
      </c>
      <c r="C1132" s="556">
        <v>2300</v>
      </c>
      <c r="D1132" s="565">
        <v>6890</v>
      </c>
      <c r="E1132" s="557">
        <f>SUMIFS('Accounting data'!$G$2:$G$37003,'Accounting data'!$H$2:$H$37003,"9999*",'Accounting data'!$J$2:$J$37003,"23*",'Accounting data'!$K$2:$K$37003,"689*")</f>
        <v>0</v>
      </c>
    </row>
    <row r="1133" spans="1:5" x14ac:dyDescent="0.25">
      <c r="A1133" s="556" t="s">
        <v>1010</v>
      </c>
      <c r="B1133" s="556" t="s">
        <v>1012</v>
      </c>
      <c r="C1133" s="556">
        <v>2300</v>
      </c>
      <c r="D1133" s="565">
        <v>6890</v>
      </c>
      <c r="E1133" s="557">
        <f>SUMIFS('Accounting data'!$G$2:$G$37003,'Accounting data'!$I$2:$I$37003,"7*",'Accounting data'!$J$2:$J$37003,"23*",'Accounting data'!$K$2:$K$37003,"689*")+SUMIFS('Accounting data'!$G$2:$G$37003,'Accounting data'!$I$2:$I$37003,"8*",'Accounting data'!$J$2:$J$37003,"23*",'Accounting data'!$K$2:$K$37003,"689*")+SUMIFS('Accounting data'!$G$2:$G$37003,'Accounting data'!$I$2:$I$37003,"9*",'Accounting data'!$J$2:$J$37003,"23*",'Accounting data'!$K$2:$K$37003,"689*")</f>
        <v>0</v>
      </c>
    </row>
    <row r="1134" spans="1:5" x14ac:dyDescent="0.25">
      <c r="A1134" s="558" t="s">
        <v>1011</v>
      </c>
      <c r="B1134" s="556" t="s">
        <v>1012</v>
      </c>
      <c r="C1134" s="556">
        <v>2300</v>
      </c>
      <c r="D1134" s="565">
        <v>6890</v>
      </c>
      <c r="E1134" s="557">
        <f>SUMIFS('Accounting data'!$G$2:$G$37003,'Accounting data'!$H$2:$H$37003,"9999*",'Accounting data'!$I$2:$I$37003,"7*",'Accounting data'!$J$2:$J$37003,"23*",'Accounting data'!$K$2:$K$37003,"689*")+SUMIFS('Accounting data'!$G$2:$G$37003,'Accounting data'!$H$2:$H$37003,"9999*",'Accounting data'!$I$2:$I$37003,"8*",'Accounting data'!$J$2:$J$37003,"23*",'Accounting data'!$K$2:$K$37003,"689*")+SUMIFS('Accounting data'!$G$2:$G$37003,'Accounting data'!$H$2:$H$37003,"9999*",'Accounting data'!$I$2:$I$37003,"9*",'Accounting data'!$J$2:$J$37003,"23*",'Accounting data'!$K$2:$K$37003,"689*")</f>
        <v>0</v>
      </c>
    </row>
    <row r="1135" spans="1:5" x14ac:dyDescent="0.25">
      <c r="A1135" s="556"/>
      <c r="B1135" s="556"/>
      <c r="C1135" s="556"/>
      <c r="D1135" s="565"/>
      <c r="E1135" s="557"/>
    </row>
    <row r="1136" spans="1:5" x14ac:dyDescent="0.25">
      <c r="A1136" s="556"/>
      <c r="B1136" s="556"/>
      <c r="C1136" s="556"/>
      <c r="D1136" s="565"/>
      <c r="E1136" s="557"/>
    </row>
    <row r="1137" spans="1:5" x14ac:dyDescent="0.25">
      <c r="A1137" s="559" t="s">
        <v>1095</v>
      </c>
      <c r="B1137" s="559"/>
      <c r="C1137" s="559"/>
      <c r="D1137" s="559"/>
      <c r="E1137" s="561">
        <f>(E1131-E1132-E1133)+(E1134+E1135+E1136)</f>
        <v>0</v>
      </c>
    </row>
    <row r="1138" spans="1:5" x14ac:dyDescent="0.25">
      <c r="A1138" s="556" t="s">
        <v>1010</v>
      </c>
      <c r="B1138" s="556" t="s">
        <v>1010</v>
      </c>
      <c r="C1138" s="556">
        <v>2400</v>
      </c>
      <c r="D1138" s="565">
        <v>6890</v>
      </c>
      <c r="E1138" s="557">
        <f>SUMIFS('Accounting data'!$G$2:$G$37003,'Accounting data'!$J$2:$J$37003,"24*",'Accounting data'!$K$2:$K$37003,"689*")</f>
        <v>0</v>
      </c>
    </row>
    <row r="1139" spans="1:5" x14ac:dyDescent="0.25">
      <c r="A1139" s="556" t="s">
        <v>1011</v>
      </c>
      <c r="B1139" s="556" t="s">
        <v>1010</v>
      </c>
      <c r="C1139" s="556">
        <v>2400</v>
      </c>
      <c r="D1139" s="565">
        <v>6890</v>
      </c>
      <c r="E1139" s="557">
        <f>SUMIFS('Accounting data'!$G$2:$G$37003,'Accounting data'!$H$2:$H$37003,"9999*",'Accounting data'!$J$2:$J$37003,"24*",'Accounting data'!$K$2:$K$37003,"689*")</f>
        <v>0</v>
      </c>
    </row>
    <row r="1140" spans="1:5" x14ac:dyDescent="0.25">
      <c r="A1140" s="556" t="s">
        <v>1010</v>
      </c>
      <c r="B1140" s="556" t="s">
        <v>1012</v>
      </c>
      <c r="C1140" s="556">
        <v>2400</v>
      </c>
      <c r="D1140" s="565">
        <v>6890</v>
      </c>
      <c r="E1140" s="557">
        <f>SUMIFS('Accounting data'!$G$2:$G$37003,'Accounting data'!$I$2:$I$37003,"7*",'Accounting data'!$J$2:$J$37003,"24*",'Accounting data'!$K$2:$K$37003,"689*")+SUMIFS('Accounting data'!$G$2:$G$37003,'Accounting data'!$I$2:$I$37003,"8*",'Accounting data'!$J$2:$J$37003,"24*",'Accounting data'!$K$2:$K$37003,"689*")+SUMIFS('Accounting data'!$G$2:$G$37003,'Accounting data'!$I$2:$I$37003,"9*",'Accounting data'!$J$2:$J$37003,"24*",'Accounting data'!$K$2:$K$37003,"689*")</f>
        <v>0</v>
      </c>
    </row>
    <row r="1141" spans="1:5" x14ac:dyDescent="0.25">
      <c r="A1141" s="558" t="s">
        <v>1011</v>
      </c>
      <c r="B1141" s="556" t="s">
        <v>1012</v>
      </c>
      <c r="C1141" s="556">
        <v>2400</v>
      </c>
      <c r="D1141" s="565">
        <v>6890</v>
      </c>
      <c r="E1141" s="557">
        <f>SUMIFS('Accounting data'!$G$2:$G$37003,'Accounting data'!$H$2:$H$37003,"9999*",'Accounting data'!$I$2:$I$37003,"7*",'Accounting data'!$J$2:$J$37003,"24*",'Accounting data'!$K$2:$K$37003,"689*")+SUMIFS('Accounting data'!$G$2:$G$37003,'Accounting data'!$H$2:$H$37003,"9999*",'Accounting data'!$I$2:$I$37003,"8*",'Accounting data'!$J$2:$J$37003,"24*",'Accounting data'!$K$2:$K$37003,"689*")+SUMIFS('Accounting data'!$G$2:$G$37003,'Accounting data'!$H$2:$H$37003,"9999*",'Accounting data'!$I$2:$I$37003,"9*",'Accounting data'!$J$2:$J$37003,"24*",'Accounting data'!$K$2:$K$37003,"689*")</f>
        <v>0</v>
      </c>
    </row>
    <row r="1142" spans="1:5" x14ac:dyDescent="0.25">
      <c r="A1142" s="556"/>
      <c r="B1142" s="556"/>
      <c r="C1142" s="556"/>
      <c r="D1142" s="565"/>
      <c r="E1142" s="557"/>
    </row>
    <row r="1143" spans="1:5" x14ac:dyDescent="0.25">
      <c r="A1143" s="556"/>
      <c r="B1143" s="556"/>
      <c r="C1143" s="556"/>
      <c r="D1143" s="565"/>
      <c r="E1143" s="557"/>
    </row>
    <row r="1144" spans="1:5" x14ac:dyDescent="0.25">
      <c r="A1144" s="559" t="s">
        <v>1096</v>
      </c>
      <c r="B1144" s="559"/>
      <c r="C1144" s="559"/>
      <c r="D1144" s="559"/>
      <c r="E1144" s="561">
        <f>(E1138-E1139-E1140)+(E1141+E1142+E1143)</f>
        <v>0</v>
      </c>
    </row>
    <row r="1145" spans="1:5" x14ac:dyDescent="0.25">
      <c r="A1145" s="556" t="s">
        <v>1010</v>
      </c>
      <c r="B1145" s="556" t="s">
        <v>1010</v>
      </c>
      <c r="C1145" s="556">
        <v>2500</v>
      </c>
      <c r="D1145" s="565">
        <v>6890</v>
      </c>
      <c r="E1145" s="557">
        <f>SUMIFS('Accounting data'!$G$2:$G$37003,'Accounting data'!$J$2:$J$37003,"25*",'Accounting data'!$K$2:$K$37003,"689*")</f>
        <v>0</v>
      </c>
    </row>
    <row r="1146" spans="1:5" x14ac:dyDescent="0.25">
      <c r="A1146" s="556" t="s">
        <v>1011</v>
      </c>
      <c r="B1146" s="556" t="s">
        <v>1010</v>
      </c>
      <c r="C1146" s="556">
        <v>2500</v>
      </c>
      <c r="D1146" s="565">
        <v>6890</v>
      </c>
      <c r="E1146" s="557">
        <f>SUMIFS('Accounting data'!$G$2:$G$37003,'Accounting data'!$H$2:$H$37003,"9999*",'Accounting data'!$J$2:$J$37003,"25*",'Accounting data'!$K$2:$K$37003,"689*")</f>
        <v>0</v>
      </c>
    </row>
    <row r="1147" spans="1:5" x14ac:dyDescent="0.25">
      <c r="A1147" s="556" t="s">
        <v>1010</v>
      </c>
      <c r="B1147" s="556" t="s">
        <v>1012</v>
      </c>
      <c r="C1147" s="556">
        <v>2500</v>
      </c>
      <c r="D1147" s="565">
        <v>6890</v>
      </c>
      <c r="E1147" s="557">
        <f>SUMIFS('Accounting data'!$G$2:$G$37003,'Accounting data'!$I$2:$I$37003,"7*",'Accounting data'!$J$2:$J$37003,"25*",'Accounting data'!$K$2:$K$37003,"689*")+SUMIFS('Accounting data'!$G$2:$G$37003,'Accounting data'!$I$2:$I$37003,"8*",'Accounting data'!$J$2:$J$37003,"25*",'Accounting data'!$K$2:$K$37003,"689*")+SUMIFS('Accounting data'!$G$2:$G$37003,'Accounting data'!$I$2:$I$37003,"9*",'Accounting data'!$J$2:$J$37003,"25*",'Accounting data'!$K$2:$K$37003,"689*")</f>
        <v>0</v>
      </c>
    </row>
    <row r="1148" spans="1:5" x14ac:dyDescent="0.25">
      <c r="A1148" s="558" t="s">
        <v>1011</v>
      </c>
      <c r="B1148" s="556" t="s">
        <v>1012</v>
      </c>
      <c r="C1148" s="556">
        <v>2500</v>
      </c>
      <c r="D1148" s="565">
        <v>6890</v>
      </c>
      <c r="E1148" s="557">
        <f>SUMIFS('Accounting data'!$G$2:$G$37003,'Accounting data'!$H$2:$H$37003,"9999*",'Accounting data'!$I$2:$I$37003,"7*",'Accounting data'!$J$2:$J$37003,"25*",'Accounting data'!$K$2:$K$37003,"689*")+SUMIFS('Accounting data'!$G$2:$G$37003,'Accounting data'!$H$2:$H$37003,"9999*",'Accounting data'!$I$2:$I$37003,"8*",'Accounting data'!$J$2:$J$37003,"25*",'Accounting data'!$K$2:$K$37003,"689*")+SUMIFS('Accounting data'!$G$2:$G$37003,'Accounting data'!$H$2:$H$37003,"9999*",'Accounting data'!$I$2:$I$37003,"9*",'Accounting data'!$J$2:$J$37003,"25*",'Accounting data'!$K$2:$K$37003,"689*")</f>
        <v>0</v>
      </c>
    </row>
    <row r="1149" spans="1:5" x14ac:dyDescent="0.25">
      <c r="A1149" s="556"/>
      <c r="B1149" s="556"/>
      <c r="C1149" s="556"/>
      <c r="D1149" s="565"/>
      <c r="E1149" s="557"/>
    </row>
    <row r="1150" spans="1:5" x14ac:dyDescent="0.25">
      <c r="A1150" s="556"/>
      <c r="B1150" s="556"/>
      <c r="C1150" s="556"/>
      <c r="D1150" s="565"/>
      <c r="E1150" s="557"/>
    </row>
    <row r="1151" spans="1:5" x14ac:dyDescent="0.25">
      <c r="A1151" s="559" t="s">
        <v>1097</v>
      </c>
      <c r="B1151" s="559"/>
      <c r="C1151" s="559"/>
      <c r="D1151" s="559"/>
      <c r="E1151" s="561">
        <f>(E1145-E1146-E1147)+(E1148+E1149+E1150)</f>
        <v>0</v>
      </c>
    </row>
    <row r="1152" spans="1:5" x14ac:dyDescent="0.25">
      <c r="A1152" s="556" t="s">
        <v>1010</v>
      </c>
      <c r="B1152" s="556" t="s">
        <v>1010</v>
      </c>
      <c r="C1152" s="556">
        <v>2900</v>
      </c>
      <c r="D1152" s="565">
        <v>6890</v>
      </c>
      <c r="E1152" s="557">
        <f>SUMIFS('Accounting data'!$G$2:$G$37003,'Accounting data'!$J$2:$J$37003,"29*",'Accounting data'!$K$2:$K$37003,"689*")</f>
        <v>0</v>
      </c>
    </row>
    <row r="1153" spans="1:5" x14ac:dyDescent="0.25">
      <c r="A1153" s="556" t="s">
        <v>1011</v>
      </c>
      <c r="B1153" s="556" t="s">
        <v>1010</v>
      </c>
      <c r="C1153" s="556">
        <v>2900</v>
      </c>
      <c r="D1153" s="565">
        <v>6890</v>
      </c>
      <c r="E1153" s="557">
        <f>SUMIFS('Accounting data'!$G$2:$G$37003,'Accounting data'!$H$2:$H$37003,"9999*",'Accounting data'!$J$2:$J$37003,"29*",'Accounting data'!$K$2:$K$37003,"689*")</f>
        <v>0</v>
      </c>
    </row>
    <row r="1154" spans="1:5" x14ac:dyDescent="0.25">
      <c r="A1154" s="556" t="s">
        <v>1010</v>
      </c>
      <c r="B1154" s="556" t="s">
        <v>1012</v>
      </c>
      <c r="C1154" s="556">
        <v>2900</v>
      </c>
      <c r="D1154" s="565">
        <v>6890</v>
      </c>
      <c r="E1154" s="557">
        <f>SUMIFS('Accounting data'!$G$2:$G$37003,'Accounting data'!$I$2:$I$37003,"7*",'Accounting data'!$J$2:$J$37003,"29*",'Accounting data'!$K$2:$K$37003,"689*")+SUMIFS('Accounting data'!$G$2:$G$37003,'Accounting data'!$I$2:$I$37003,"8*",'Accounting data'!$J$2:$J$37003,"29*",'Accounting data'!$K$2:$K$37003,"689*")+SUMIFS('Accounting data'!$G$2:$G$37003,'Accounting data'!$I$2:$I$37003,"9*",'Accounting data'!$J$2:$J$37003,"29*",'Accounting data'!$K$2:$K$37003,"689*")</f>
        <v>0</v>
      </c>
    </row>
    <row r="1155" spans="1:5" x14ac:dyDescent="0.25">
      <c r="A1155" s="558" t="s">
        <v>1011</v>
      </c>
      <c r="B1155" s="556" t="s">
        <v>1012</v>
      </c>
      <c r="C1155" s="556">
        <v>2900</v>
      </c>
      <c r="D1155" s="565">
        <v>6890</v>
      </c>
      <c r="E1155" s="557">
        <f>SUMIFS('Accounting data'!$G$2:$G$37003,'Accounting data'!$H$2:$H$37003,"9999*",'Accounting data'!$I$2:$I$37003,"7*",'Accounting data'!$J$2:$J$37003,"29*",'Accounting data'!$K$2:$K$37003,"689*")+SUMIFS('Accounting data'!$G$2:$G$37003,'Accounting data'!$H$2:$H$37003,"9999*",'Accounting data'!$I$2:$I$37003,"8*",'Accounting data'!$J$2:$J$37003,"29*",'Accounting data'!$K$2:$K$37003,"689*")+SUMIFS('Accounting data'!$G$2:$G$37003,'Accounting data'!$H$2:$H$37003,"9999*",'Accounting data'!$I$2:$I$37003,"9*",'Accounting data'!$J$2:$J$37003,"29*",'Accounting data'!$K$2:$K$37003,"689*")</f>
        <v>0</v>
      </c>
    </row>
    <row r="1156" spans="1:5" x14ac:dyDescent="0.25">
      <c r="A1156" s="556"/>
      <c r="B1156" s="556"/>
      <c r="C1156" s="556"/>
      <c r="D1156" s="565"/>
      <c r="E1156" s="557"/>
    </row>
    <row r="1157" spans="1:5" x14ac:dyDescent="0.25">
      <c r="A1157" s="556"/>
      <c r="B1157" s="556"/>
      <c r="C1157" s="556"/>
      <c r="D1157" s="565"/>
      <c r="E1157" s="557"/>
    </row>
    <row r="1158" spans="1:5" x14ac:dyDescent="0.25">
      <c r="A1158" s="559" t="s">
        <v>1098</v>
      </c>
      <c r="B1158" s="559"/>
      <c r="C1158" s="559"/>
      <c r="D1158" s="559"/>
      <c r="E1158" s="561">
        <f>(E1152-E1153-E1154)+(E1155+E1156+E1157)</f>
        <v>0</v>
      </c>
    </row>
    <row r="1159" spans="1:5" x14ac:dyDescent="0.25">
      <c r="A1159" s="556" t="s">
        <v>1010</v>
      </c>
      <c r="B1159" s="556" t="s">
        <v>1010</v>
      </c>
      <c r="C1159" s="556">
        <v>2600</v>
      </c>
      <c r="D1159" s="565">
        <v>6890</v>
      </c>
      <c r="E1159" s="557">
        <f>SUMIFS('Accounting data'!$G$2:$G$37003,'Accounting data'!$J$2:$J$37003,"26*",'Accounting data'!$K$2:$K$37003,"689*")</f>
        <v>0</v>
      </c>
    </row>
    <row r="1160" spans="1:5" x14ac:dyDescent="0.25">
      <c r="A1160" s="556" t="s">
        <v>1011</v>
      </c>
      <c r="B1160" s="556" t="s">
        <v>1010</v>
      </c>
      <c r="C1160" s="556">
        <v>2600</v>
      </c>
      <c r="D1160" s="565">
        <v>6890</v>
      </c>
      <c r="E1160" s="557">
        <f>SUMIFS('Accounting data'!$G$2:$G$37003,'Accounting data'!$H$2:$H$37003,"9999*",'Accounting data'!$J$2:$J$37003,"26*",'Accounting data'!$K$2:$K$37003,"689*")</f>
        <v>0</v>
      </c>
    </row>
    <row r="1161" spans="1:5" x14ac:dyDescent="0.25">
      <c r="A1161" s="556" t="s">
        <v>1010</v>
      </c>
      <c r="B1161" s="556" t="s">
        <v>1012</v>
      </c>
      <c r="C1161" s="556">
        <v>2600</v>
      </c>
      <c r="D1161" s="565">
        <v>6890</v>
      </c>
      <c r="E1161" s="557">
        <f>SUMIFS('Accounting data'!$G$2:$G$37003,'Accounting data'!$I$2:$I$37003,"7*",'Accounting data'!$J$2:$J$37003,"26*",'Accounting data'!$K$2:$K$37003,"689*")+SUMIFS('Accounting data'!$G$2:$G$37003,'Accounting data'!$I$2:$I$37003,"8*",'Accounting data'!$J$2:$J$37003,"26*",'Accounting data'!$K$2:$K$37003,"689*")+SUMIFS('Accounting data'!$G$2:$G$37003,'Accounting data'!$I$2:$I$37003,"9*",'Accounting data'!$J$2:$J$37003,"26*",'Accounting data'!$K$2:$K$37003,"689*")</f>
        <v>0</v>
      </c>
    </row>
    <row r="1162" spans="1:5" x14ac:dyDescent="0.25">
      <c r="A1162" s="558" t="s">
        <v>1011</v>
      </c>
      <c r="B1162" s="556" t="s">
        <v>1012</v>
      </c>
      <c r="C1162" s="556">
        <v>2600</v>
      </c>
      <c r="D1162" s="565">
        <v>6890</v>
      </c>
      <c r="E1162" s="557">
        <f>SUMIFS('Accounting data'!$G$2:$G$37003,'Accounting data'!$H$2:$H$37003,"9999*",'Accounting data'!$I$2:$I$37003,"7*",'Accounting data'!$J$2:$J$37003,"26*",'Accounting data'!$K$2:$K$37003,"689*")+SUMIFS('Accounting data'!$G$2:$G$37003,'Accounting data'!$H$2:$H$37003,"9999*",'Accounting data'!$I$2:$I$37003,"8*",'Accounting data'!$J$2:$J$37003,"26*",'Accounting data'!$K$2:$K$37003,"689*")+SUMIFS('Accounting data'!$G$2:$G$37003,'Accounting data'!$H$2:$H$37003,"9999*",'Accounting data'!$I$2:$I$37003,"9*",'Accounting data'!$J$2:$J$37003,"26*",'Accounting data'!$K$2:$K$37003,"689*")</f>
        <v>0</v>
      </c>
    </row>
    <row r="1163" spans="1:5" x14ac:dyDescent="0.25">
      <c r="A1163" s="556"/>
      <c r="B1163" s="556"/>
      <c r="C1163" s="556"/>
      <c r="D1163" s="565"/>
      <c r="E1163" s="557"/>
    </row>
    <row r="1164" spans="1:5" x14ac:dyDescent="0.25">
      <c r="A1164" s="556"/>
      <c r="B1164" s="556"/>
      <c r="C1164" s="556"/>
      <c r="D1164" s="565"/>
      <c r="E1164" s="557"/>
    </row>
    <row r="1165" spans="1:5" x14ac:dyDescent="0.25">
      <c r="A1165" s="559" t="s">
        <v>1099</v>
      </c>
      <c r="B1165" s="559"/>
      <c r="C1165" s="559"/>
      <c r="D1165" s="559"/>
      <c r="E1165" s="561">
        <f>(E1159-E1160-E1161)+(E1162+E1163+E1164)</f>
        <v>0</v>
      </c>
    </row>
    <row r="1166" spans="1:5" x14ac:dyDescent="0.25">
      <c r="A1166" s="556" t="s">
        <v>1010</v>
      </c>
      <c r="B1166" s="556" t="s">
        <v>1010</v>
      </c>
      <c r="C1166" s="556">
        <v>2700</v>
      </c>
      <c r="D1166" s="565">
        <v>6890</v>
      </c>
      <c r="E1166" s="557">
        <f>SUMIFS('Accounting data'!$G$2:$G$37003,'Accounting data'!$J$2:$J$37003,"27*",'Accounting data'!$K$2:$K$37003,"689*")</f>
        <v>0</v>
      </c>
    </row>
    <row r="1167" spans="1:5" x14ac:dyDescent="0.25">
      <c r="A1167" s="556" t="s">
        <v>1011</v>
      </c>
      <c r="B1167" s="556" t="s">
        <v>1010</v>
      </c>
      <c r="C1167" s="556">
        <v>2700</v>
      </c>
      <c r="D1167" s="565">
        <v>6890</v>
      </c>
      <c r="E1167" s="557">
        <f>SUMIFS('Accounting data'!$G$2:$G$37003,'Accounting data'!$H$2:$H$37003,"9999*",'Accounting data'!$J$2:$J$37003,"27*",'Accounting data'!$K$2:$K$37003,"689*")</f>
        <v>0</v>
      </c>
    </row>
    <row r="1168" spans="1:5" x14ac:dyDescent="0.25">
      <c r="A1168" s="556" t="s">
        <v>1010</v>
      </c>
      <c r="B1168" s="556" t="s">
        <v>1012</v>
      </c>
      <c r="C1168" s="556">
        <v>2700</v>
      </c>
      <c r="D1168" s="565">
        <v>6890</v>
      </c>
      <c r="E1168" s="557">
        <f>SUMIFS('Accounting data'!$G$2:$G$37003,'Accounting data'!$I$2:$I$37003,"7*",'Accounting data'!$J$2:$J$37003,"27*",'Accounting data'!$K$2:$K$37003,"689*")+SUMIFS('Accounting data'!$G$2:$G$37003,'Accounting data'!$I$2:$I$37003,"8*",'Accounting data'!$J$2:$J$37003,"27*",'Accounting data'!$K$2:$K$37003,"689*")+SUMIFS('Accounting data'!$G$2:$G$37003,'Accounting data'!$I$2:$I$37003,"9*",'Accounting data'!$J$2:$J$37003,"27*",'Accounting data'!$K$2:$K$37003,"689*")</f>
        <v>0</v>
      </c>
    </row>
    <row r="1169" spans="1:5" x14ac:dyDescent="0.25">
      <c r="A1169" s="558" t="s">
        <v>1011</v>
      </c>
      <c r="B1169" s="556" t="s">
        <v>1012</v>
      </c>
      <c r="C1169" s="556">
        <v>2700</v>
      </c>
      <c r="D1169" s="565">
        <v>6890</v>
      </c>
      <c r="E1169" s="557">
        <f>SUMIFS('Accounting data'!$G$2:$G$37003,'Accounting data'!$H$2:$H$37003,"9999*",'Accounting data'!$I$2:$I$37003,"7*",'Accounting data'!$J$2:$J$37003,"27*",'Accounting data'!$K$2:$K$37003,"689*")+SUMIFS('Accounting data'!$G$2:$G$37003,'Accounting data'!$H$2:$H$37003,"9999*",'Accounting data'!$I$2:$I$37003,"8*",'Accounting data'!$J$2:$J$37003,"27*",'Accounting data'!$K$2:$K$37003,"689*")+SUMIFS('Accounting data'!$G$2:$G$37003,'Accounting data'!$H$2:$H$37003,"9999*",'Accounting data'!$I$2:$I$37003,"9*",'Accounting data'!$J$2:$J$37003,"27*",'Accounting data'!$K$2:$K$37003,"689*")</f>
        <v>0</v>
      </c>
    </row>
    <row r="1170" spans="1:5" x14ac:dyDescent="0.25">
      <c r="A1170" s="556"/>
      <c r="B1170" s="556"/>
      <c r="C1170" s="556"/>
      <c r="D1170" s="565"/>
      <c r="E1170" s="557"/>
    </row>
    <row r="1171" spans="1:5" x14ac:dyDescent="0.25">
      <c r="A1171" s="556"/>
      <c r="B1171" s="556"/>
      <c r="C1171" s="556"/>
      <c r="D1171" s="565"/>
      <c r="E1171" s="557"/>
    </row>
    <row r="1172" spans="1:5" x14ac:dyDescent="0.25">
      <c r="A1172" s="559" t="s">
        <v>1100</v>
      </c>
      <c r="B1172" s="559"/>
      <c r="C1172" s="559"/>
      <c r="D1172" s="559"/>
      <c r="E1172" s="561">
        <f>(E1166-E1167-E1168)+(E1169+E1170+E1171)</f>
        <v>0</v>
      </c>
    </row>
    <row r="1173" spans="1:5" x14ac:dyDescent="0.25">
      <c r="A1173" s="556" t="s">
        <v>1010</v>
      </c>
      <c r="B1173" s="556" t="s">
        <v>1010</v>
      </c>
      <c r="C1173" s="556">
        <v>3100</v>
      </c>
      <c r="D1173" s="565">
        <v>6890</v>
      </c>
      <c r="E1173" s="557">
        <f>SUMIFS('Accounting data'!$G$2:$G$37003,'Accounting data'!$J$2:$J$37003,"31*",'Accounting data'!$K$2:$K$37003,"689*")</f>
        <v>0</v>
      </c>
    </row>
    <row r="1174" spans="1:5" x14ac:dyDescent="0.25">
      <c r="A1174" s="556" t="s">
        <v>1011</v>
      </c>
      <c r="B1174" s="556" t="s">
        <v>1010</v>
      </c>
      <c r="C1174" s="556">
        <v>3100</v>
      </c>
      <c r="D1174" s="565">
        <v>6890</v>
      </c>
      <c r="E1174" s="557">
        <f>SUMIFS('Accounting data'!$G$2:$G$37003,'Accounting data'!$H$2:$H$37003,"9999*",'Accounting data'!$J$2:$J$37003,"31*",'Accounting data'!$K$2:$K$37003,"689*")</f>
        <v>0</v>
      </c>
    </row>
    <row r="1175" spans="1:5" x14ac:dyDescent="0.25">
      <c r="A1175" s="556" t="s">
        <v>1010</v>
      </c>
      <c r="B1175" s="556" t="s">
        <v>1012</v>
      </c>
      <c r="C1175" s="556">
        <v>3100</v>
      </c>
      <c r="D1175" s="565">
        <v>6890</v>
      </c>
      <c r="E1175" s="557">
        <f>SUMIFS('Accounting data'!$G$2:$G$37003,'Accounting data'!$I$2:$I$37003,"7*",'Accounting data'!$J$2:$J$37003,"31*",'Accounting data'!$K$2:$K$37003,"689*")+SUMIFS('Accounting data'!$G$2:$G$37003,'Accounting data'!$I$2:$I$37003,"8*",'Accounting data'!$J$2:$J$37003,"31*",'Accounting data'!$K$2:$K$37003,"689*")+SUMIFS('Accounting data'!$G$2:$G$37003,'Accounting data'!$I$2:$I$37003,"9*",'Accounting data'!$J$2:$J$37003,"31*",'Accounting data'!$K$2:$K$37003,"689*")</f>
        <v>0</v>
      </c>
    </row>
    <row r="1176" spans="1:5" x14ac:dyDescent="0.25">
      <c r="A1176" s="558" t="s">
        <v>1011</v>
      </c>
      <c r="B1176" s="556" t="s">
        <v>1012</v>
      </c>
      <c r="C1176" s="556">
        <v>3100</v>
      </c>
      <c r="D1176" s="565">
        <v>6890</v>
      </c>
      <c r="E1176" s="557">
        <f>SUMIFS('Accounting data'!$G$2:$G$37003,'Accounting data'!$H$2:$H$37003,"9999*",'Accounting data'!$I$2:$I$37003,"7*",'Accounting data'!$J$2:$J$37003,"31*",'Accounting data'!$K$2:$K$37003,"689*")+SUMIFS('Accounting data'!$G$2:$G$37003,'Accounting data'!$H$2:$H$37003,"9999*",'Accounting data'!$I$2:$I$37003,"8*",'Accounting data'!$J$2:$J$37003,"31*",'Accounting data'!$K$2:$K$37003,"689*")+SUMIFS('Accounting data'!$G$2:$G$37003,'Accounting data'!$H$2:$H$37003,"9999*",'Accounting data'!$I$2:$I$37003,"9*",'Accounting data'!$J$2:$J$37003,"31*",'Accounting data'!$K$2:$K$37003,"689*")</f>
        <v>0</v>
      </c>
    </row>
    <row r="1177" spans="1:5" x14ac:dyDescent="0.25">
      <c r="A1177" s="556"/>
      <c r="B1177" s="556"/>
      <c r="C1177" s="556"/>
      <c r="D1177" s="565"/>
      <c r="E1177" s="557"/>
    </row>
    <row r="1178" spans="1:5" x14ac:dyDescent="0.25">
      <c r="A1178" s="556"/>
      <c r="B1178" s="556"/>
      <c r="C1178" s="556"/>
      <c r="D1178" s="565"/>
      <c r="E1178" s="557"/>
    </row>
    <row r="1179" spans="1:5" x14ac:dyDescent="0.25">
      <c r="A1179" s="559" t="s">
        <v>1101</v>
      </c>
      <c r="B1179" s="559"/>
      <c r="C1179" s="559"/>
      <c r="D1179" s="559"/>
      <c r="E1179" s="561">
        <f>(E1173-E1174-E1175)+(E1176+E1177+E1178)</f>
        <v>0</v>
      </c>
    </row>
    <row r="1180" spans="1:5" x14ac:dyDescent="0.25">
      <c r="A1180" s="556"/>
      <c r="B1180" s="556"/>
      <c r="C1180" s="556"/>
      <c r="D1180" s="565"/>
      <c r="E1180" s="557"/>
    </row>
    <row r="1181" spans="1:5" x14ac:dyDescent="0.25">
      <c r="A1181" s="556"/>
      <c r="B1181" s="556"/>
      <c r="C1181" s="556"/>
      <c r="D1181" s="565"/>
      <c r="E1181" s="557"/>
    </row>
    <row r="1182" spans="1:5" x14ac:dyDescent="0.25">
      <c r="A1182" s="556"/>
      <c r="B1182" s="556"/>
      <c r="C1182" s="556"/>
      <c r="D1182" s="565"/>
      <c r="E1182" s="557"/>
    </row>
    <row r="1183" spans="1:5" x14ac:dyDescent="0.25">
      <c r="A1183" s="558"/>
      <c r="B1183" s="556"/>
      <c r="C1183" s="556"/>
      <c r="D1183" s="565"/>
      <c r="E1183" s="557"/>
    </row>
    <row r="1184" spans="1:5" x14ac:dyDescent="0.25">
      <c r="A1184" s="556"/>
      <c r="B1184" s="556"/>
      <c r="C1184" s="556"/>
      <c r="D1184" s="565"/>
      <c r="E1184" s="557"/>
    </row>
    <row r="1185" spans="1:5" x14ac:dyDescent="0.25">
      <c r="A1185" s="556"/>
      <c r="B1185" s="556"/>
      <c r="C1185" s="556"/>
      <c r="D1185" s="565"/>
      <c r="E1185" s="557"/>
    </row>
    <row r="1186" spans="1:5" x14ac:dyDescent="0.25">
      <c r="A1186" s="559" t="s">
        <v>1102</v>
      </c>
      <c r="B1186" s="559"/>
      <c r="C1186" s="559"/>
      <c r="D1186" s="559"/>
      <c r="E1186" s="561">
        <f>(E1180-E1181-E1182)+(E1183+E1184+E1185)</f>
        <v>0</v>
      </c>
    </row>
    <row r="1187" spans="1:5" x14ac:dyDescent="0.25">
      <c r="A1187" s="556" t="s">
        <v>1010</v>
      </c>
      <c r="B1187" s="556" t="s">
        <v>1010</v>
      </c>
      <c r="C1187" s="556">
        <v>3400</v>
      </c>
      <c r="D1187" s="565">
        <v>6890</v>
      </c>
      <c r="E1187" s="557">
        <f>SUMIFS('Accounting data'!$G$2:$G$37003,'Accounting data'!$J$2:$J$37003,"34*",'Accounting data'!$K$2:$K$37003,"689*")</f>
        <v>0</v>
      </c>
    </row>
    <row r="1188" spans="1:5" x14ac:dyDescent="0.25">
      <c r="A1188" s="556" t="s">
        <v>1011</v>
      </c>
      <c r="B1188" s="556" t="s">
        <v>1010</v>
      </c>
      <c r="C1188" s="556">
        <v>3400</v>
      </c>
      <c r="D1188" s="565">
        <v>6890</v>
      </c>
      <c r="E1188" s="557">
        <f>SUMIFS('Accounting data'!$G$2:$G$37003,'Accounting data'!$H$2:$H$37003,"9999*",'Accounting data'!$J$2:$J$37003,"34*",'Accounting data'!$K$2:$K$37003,"689*")</f>
        <v>0</v>
      </c>
    </row>
    <row r="1189" spans="1:5" x14ac:dyDescent="0.25">
      <c r="A1189" s="556" t="s">
        <v>1010</v>
      </c>
      <c r="B1189" s="556" t="s">
        <v>1012</v>
      </c>
      <c r="C1189" s="556">
        <v>3400</v>
      </c>
      <c r="D1189" s="565">
        <v>6890</v>
      </c>
      <c r="E1189" s="557">
        <f>SUMIFS('Accounting data'!$G$2:$G$37003,'Accounting data'!$I$2:$I$37003,"7*",'Accounting data'!$J$2:$J$37003,"34*",'Accounting data'!$K$2:$K$37003,"689*")+SUMIFS('Accounting data'!$G$2:$G$37003,'Accounting data'!$I$2:$I$37003,"8*",'Accounting data'!$J$2:$J$37003,"34*",'Accounting data'!$K$2:$K$37003,"689*")+SUMIFS('Accounting data'!$G$2:$G$37003,'Accounting data'!$I$2:$I$37003,"9*",'Accounting data'!$J$2:$J$37003,"34*",'Accounting data'!$K$2:$K$37003,"689*")</f>
        <v>0</v>
      </c>
    </row>
    <row r="1190" spans="1:5" x14ac:dyDescent="0.25">
      <c r="A1190" s="558" t="s">
        <v>1011</v>
      </c>
      <c r="B1190" s="556" t="s">
        <v>1012</v>
      </c>
      <c r="C1190" s="556">
        <v>3400</v>
      </c>
      <c r="D1190" s="565">
        <v>6890</v>
      </c>
      <c r="E1190" s="557">
        <f>SUMIFS('Accounting data'!$G$2:$G$37003,'Accounting data'!$H$2:$H$37003,"9999*",'Accounting data'!$I$2:$I$37003,"7*",'Accounting data'!$J$2:$J$37003,"34*",'Accounting data'!$K$2:$K$37003,"689*")+SUMIFS('Accounting data'!$G$2:$G$37003,'Accounting data'!$H$2:$H$37003,"9999*",'Accounting data'!$I$2:$I$37003,"8*",'Accounting data'!$J$2:$J$37003,"34*",'Accounting data'!$K$2:$K$37003,"689*")+SUMIFS('Accounting data'!$G$2:$G$37003,'Accounting data'!$H$2:$H$37003,"9999*",'Accounting data'!$I$2:$I$37003,"9*",'Accounting data'!$J$2:$J$37003,"34*",'Accounting data'!$K$2:$K$37003,"689*")</f>
        <v>0</v>
      </c>
    </row>
    <row r="1191" spans="1:5" x14ac:dyDescent="0.25">
      <c r="A1191" s="556"/>
      <c r="B1191" s="556"/>
      <c r="C1191" s="556"/>
      <c r="D1191" s="565"/>
      <c r="E1191" s="557"/>
    </row>
    <row r="1192" spans="1:5" x14ac:dyDescent="0.25">
      <c r="A1192" s="556"/>
      <c r="B1192" s="556"/>
      <c r="C1192" s="556"/>
      <c r="D1192" s="565"/>
      <c r="E1192" s="557"/>
    </row>
    <row r="1193" spans="1:5" x14ac:dyDescent="0.25">
      <c r="A1193" s="559" t="s">
        <v>1103</v>
      </c>
      <c r="B1193" s="559"/>
      <c r="C1193" s="559"/>
      <c r="D1193" s="559"/>
      <c r="E1193" s="561">
        <f>(E1187-E1188-E1189)+(E1190+E1191+E1192)</f>
        <v>0</v>
      </c>
    </row>
    <row r="1194" spans="1:5" x14ac:dyDescent="0.25">
      <c r="A1194" s="556" t="s">
        <v>1010</v>
      </c>
      <c r="B1194" s="556" t="s">
        <v>1010</v>
      </c>
      <c r="C1194" s="556">
        <v>4000</v>
      </c>
      <c r="D1194" s="565">
        <v>6890</v>
      </c>
      <c r="E1194" s="557">
        <f>SUMIFS('Accounting data'!$G$2:$G$37003,'Accounting data'!$J$2:$J$37003,"4*",'Accounting data'!$K$2:$K$37003,"689*")</f>
        <v>0</v>
      </c>
    </row>
    <row r="1195" spans="1:5" x14ac:dyDescent="0.25">
      <c r="A1195" s="556" t="s">
        <v>1011</v>
      </c>
      <c r="B1195" s="556" t="s">
        <v>1010</v>
      </c>
      <c r="C1195" s="556">
        <v>4000</v>
      </c>
      <c r="D1195" s="565">
        <v>6890</v>
      </c>
      <c r="E1195" s="557">
        <f>SUMIFS('Accounting data'!$G$2:$G$37003,'Accounting data'!$H$2:$H$37003,"9999*",'Accounting data'!$J$2:$J$37003,"4*",'Accounting data'!$K$2:$K$37003,"689*")</f>
        <v>0</v>
      </c>
    </row>
    <row r="1196" spans="1:5" x14ac:dyDescent="0.25">
      <c r="A1196" s="556" t="s">
        <v>1010</v>
      </c>
      <c r="B1196" s="556" t="s">
        <v>1012</v>
      </c>
      <c r="C1196" s="556">
        <v>4000</v>
      </c>
      <c r="D1196" s="565">
        <v>6890</v>
      </c>
      <c r="E1196" s="557">
        <f>SUMIFS('Accounting data'!$G$2:$G$37003,'Accounting data'!$I$2:$I$37003,"7*",'Accounting data'!$J$2:$J$37003,"4*",'Accounting data'!$K$2:$K$37003,"689*")+SUMIFS('Accounting data'!$G$2:$G$37003,'Accounting data'!$I$2:$I$37003,"8*",'Accounting data'!$J$2:$J$37003,"4*",'Accounting data'!$K$2:$K$37003,"689*")+SUMIFS('Accounting data'!$G$2:$G$37003,'Accounting data'!$I$2:$I$37003,"9*",'Accounting data'!$J$2:$J$37003,"4*",'Accounting data'!$K$2:$K$37003,"689*")</f>
        <v>0</v>
      </c>
    </row>
    <row r="1197" spans="1:5" x14ac:dyDescent="0.25">
      <c r="A1197" s="558" t="s">
        <v>1011</v>
      </c>
      <c r="B1197" s="556" t="s">
        <v>1012</v>
      </c>
      <c r="C1197" s="556">
        <v>4000</v>
      </c>
      <c r="D1197" s="565">
        <v>6890</v>
      </c>
      <c r="E1197" s="557">
        <f>SUMIFS('Accounting data'!$G$2:$G$37003,'Accounting data'!$H$2:$H$37003,"9999*",'Accounting data'!$I$2:$I$37003,"7*",'Accounting data'!$J$2:$J$37003,"4*",'Accounting data'!$K$2:$K$37003,"689*")+SUMIFS('Accounting data'!$G$2:$G$37003,'Accounting data'!$H$2:$H$37003,"9999*",'Accounting data'!$I$2:$I$37003,"8*",'Accounting data'!$J$2:$J$37003,"4*",'Accounting data'!$K$2:$K$37003,"689*")+SUMIFS('Accounting data'!$G$2:$G$37003,'Accounting data'!$H$2:$H$37003,"9999*",'Accounting data'!$I$2:$I$37003,"9*",'Accounting data'!$J$2:$J$37003,"4*",'Accounting data'!$K$2:$K$37003,"689*")</f>
        <v>0</v>
      </c>
    </row>
    <row r="1198" spans="1:5" x14ac:dyDescent="0.25">
      <c r="A1198" s="556"/>
      <c r="B1198" s="556"/>
      <c r="C1198" s="556"/>
      <c r="D1198" s="565"/>
      <c r="E1198" s="557"/>
    </row>
    <row r="1199" spans="1:5" x14ac:dyDescent="0.25">
      <c r="A1199" s="556"/>
      <c r="B1199" s="556"/>
      <c r="C1199" s="556"/>
      <c r="D1199" s="565"/>
      <c r="E1199" s="557"/>
    </row>
    <row r="1200" spans="1:5" x14ac:dyDescent="0.25">
      <c r="A1200" s="559" t="s">
        <v>1104</v>
      </c>
      <c r="B1200" s="559"/>
      <c r="C1200" s="559"/>
      <c r="D1200" s="559"/>
      <c r="E1200" s="561">
        <f>(E1194-E1195-E1196)+(E1197+E1198+E1199)</f>
        <v>0</v>
      </c>
    </row>
    <row r="1201" spans="1:5" x14ac:dyDescent="0.25">
      <c r="A1201" s="562" t="s">
        <v>1105</v>
      </c>
      <c r="B1201" s="562"/>
      <c r="C1201" s="562"/>
      <c r="D1201" s="562"/>
      <c r="E1201" s="566">
        <f>E1116+E1123+E1130+E1137+E1144+E1151+E1158+E1165+E1172+E1179+E1186+E1193</f>
        <v>0</v>
      </c>
    </row>
    <row r="1202" spans="1:5" x14ac:dyDescent="0.25">
      <c r="A1202" s="556" t="s">
        <v>1026</v>
      </c>
      <c r="B1202" s="556" t="s">
        <v>1010</v>
      </c>
      <c r="C1202" s="556">
        <v>1000</v>
      </c>
      <c r="D1202" s="556">
        <v>6890</v>
      </c>
      <c r="E1202" s="557">
        <f>SUMIFS('Accounting data'!$G$2:$G$37003,'Accounting data'!$H$2:$H$37003,"11*",'Accounting data'!$J$2:$J$37003,"1*",'Accounting data'!$K$2:$K$37003,"689*")+SUMIFS('Accounting data'!$G$2:$G$37003,'Accounting data'!$H$2:$H$37003,"12*",'Accounting data'!$J$2:$J$37003,"1*",'Accounting data'!$K$2:$K$37003,"689*")+SUMIFS('Accounting data'!$G$2:$G$37003,'Accounting data'!$H$2:$H$37003,"13*",'Accounting data'!$J$2:$J$37003,"1*",'Accounting data'!$K$2:$K$37003,"689*")</f>
        <v>0</v>
      </c>
    </row>
    <row r="1203" spans="1:5" x14ac:dyDescent="0.25">
      <c r="A1203" s="556" t="s">
        <v>1026</v>
      </c>
      <c r="B1203" s="556" t="s">
        <v>1010</v>
      </c>
      <c r="C1203" s="556">
        <v>2000</v>
      </c>
      <c r="D1203" s="556">
        <v>6890</v>
      </c>
      <c r="E1203" s="557">
        <f>SUMIFS('Accounting data'!$G$2:$G$37003,'Accounting data'!$H$2:$H$37003,"11*",'Accounting data'!$J$2:$J$37003,"2*",'Accounting data'!$K$2:$K$37003,"689*")+SUMIFS('Accounting data'!$G$2:$G$37003,'Accounting data'!$H$2:$H$37003,"12*",'Accounting data'!$J$2:$J$37003,"2*",'Accounting data'!$K$2:$K$37003,"689*")+SUMIFS('Accounting data'!$G$2:$G$37003,'Accounting data'!$H$2:$H$37003,"13*",'Accounting data'!$J$2:$J$37003,"2*",'Accounting data'!$K$2:$K$37003,"689*")</f>
        <v>0</v>
      </c>
    </row>
    <row r="1204" spans="1:5" x14ac:dyDescent="0.25">
      <c r="A1204" s="556" t="s">
        <v>1026</v>
      </c>
      <c r="B1204" s="556" t="s">
        <v>1010</v>
      </c>
      <c r="C1204" s="556">
        <v>3000</v>
      </c>
      <c r="D1204" s="556">
        <v>6890</v>
      </c>
      <c r="E1204" s="557">
        <f>SUMIFS('Accounting data'!$G$2:$G$37003,'Accounting data'!$H$2:$H$37003,"11*",'Accounting data'!$J$2:$J$37003,"3*",'Accounting data'!$K$2:$K$37003,"689*")+SUMIFS('Accounting data'!$G$2:$G$37003,'Accounting data'!$H$2:$H$37003,"12*",'Accounting data'!$J$2:$J$37003,"3*",'Accounting data'!$K$2:$K$37003,"689*")+SUMIFS('Accounting data'!$G$2:$G$37003,'Accounting data'!$H$2:$H$37003,"13*",'Accounting data'!$J$2:$J$37003,"3*",'Accounting data'!$K$2:$K$37003,"689*")</f>
        <v>0</v>
      </c>
    </row>
    <row r="1205" spans="1:5" x14ac:dyDescent="0.25">
      <c r="A1205" s="556" t="s">
        <v>1026</v>
      </c>
      <c r="B1205" s="558">
        <v>700</v>
      </c>
      <c r="C1205" s="556">
        <v>1000</v>
      </c>
      <c r="D1205" s="556">
        <v>6890</v>
      </c>
      <c r="E1205" s="557">
        <f>SUMIFS('Accounting data'!$G$2:$G$37003,'Accounting data'!$H$2:$H$37003,"11*",'Accounting data'!$I$2:$I$37003,"7*",'Accounting data'!$J$2:$J$37003,"1*",'Accounting data'!$K$2:$K$37003,"689*")+SUMIFS('Accounting data'!$G$2:$G$37003,'Accounting data'!$H$2:$H$37003,"12*",'Accounting data'!$I$2:$I$37003,"7*",'Accounting data'!$J$2:$J$37003,"1*",'Accounting data'!$K$2:$K$37003,"689*")+SUMIFS('Accounting data'!$G$2:$G$37003,'Accounting data'!$H$2:$H$37003,"13*",'Accounting data'!$I$2:$I$37003,"7*",'Accounting data'!$J$2:$J$37003,"1*",'Accounting data'!$K$2:$K$37003,"689*")</f>
        <v>0</v>
      </c>
    </row>
    <row r="1206" spans="1:5" x14ac:dyDescent="0.25">
      <c r="A1206" s="556" t="s">
        <v>1026</v>
      </c>
      <c r="B1206" s="558">
        <v>800</v>
      </c>
      <c r="C1206" s="556">
        <v>1000</v>
      </c>
      <c r="D1206" s="556">
        <v>6890</v>
      </c>
      <c r="E1206" s="557">
        <f>SUMIFS('Accounting data'!$G$2:$G$37003,'Accounting data'!$H$2:$H$37003,"11*",'Accounting data'!$I$2:$I$37003,"8*",'Accounting data'!$J$2:$J$37003,"1*",'Accounting data'!$K$2:$K$37003,"689*")+SUMIFS('Accounting data'!$G$2:$G$37003,'Accounting data'!$H$2:$H$37003,"12*",'Accounting data'!$I$2:$I$37003,"8*",'Accounting data'!$J$2:$J$37003,"1*",'Accounting data'!$K$2:$K$37003,"689*")+SUMIFS('Accounting data'!$G$2:$G$37003,'Accounting data'!$H$2:$H$37003,"13*",'Accounting data'!$I$2:$I$37003,"8*",'Accounting data'!$J$2:$J$37003,"1*",'Accounting data'!$K$2:$K$37003,"689*")</f>
        <v>0</v>
      </c>
    </row>
    <row r="1207" spans="1:5" x14ac:dyDescent="0.25">
      <c r="A1207" s="556" t="s">
        <v>1026</v>
      </c>
      <c r="B1207" s="558">
        <v>900</v>
      </c>
      <c r="C1207" s="556">
        <v>1000</v>
      </c>
      <c r="D1207" s="556">
        <v>6890</v>
      </c>
      <c r="E1207" s="557">
        <f>SUMIFS('Accounting data'!$G$2:$G$37003,'Accounting data'!$H$2:$H$37003,"11*",'Accounting data'!$I$2:$I$37003,"9*",'Accounting data'!$J$2:$J$37003,"1*",'Accounting data'!$K$2:$K$37003,"689*")+SUMIFS('Accounting data'!$G$2:$G$37003,'Accounting data'!$H$2:$H$37003,"12*",'Accounting data'!$I$2:$I$37003,"9*",'Accounting data'!$J$2:$J$37003,"1*",'Accounting data'!$K$2:$K$37003,"689*")+SUMIFS('Accounting data'!$G$2:$G$37003,'Accounting data'!$H$2:$H$37003,"13*",'Accounting data'!$I$2:$I$37003,"9*",'Accounting data'!$J$2:$J$37003,"1*",'Accounting data'!$K$2:$K$37003,"689*")</f>
        <v>0</v>
      </c>
    </row>
    <row r="1208" spans="1:5" x14ac:dyDescent="0.25">
      <c r="A1208" s="556" t="s">
        <v>1026</v>
      </c>
      <c r="B1208" s="558">
        <v>700</v>
      </c>
      <c r="C1208" s="556">
        <v>2000</v>
      </c>
      <c r="D1208" s="556">
        <v>6890</v>
      </c>
      <c r="E1208" s="557">
        <f>SUMIFS('Accounting data'!$G$2:$G$37003,'Accounting data'!$H$2:$H$37003,"11*",'Accounting data'!$I$2:$I$37003,"7*",'Accounting data'!$J$2:$J$37003,"2*",'Accounting data'!$K$2:$K$37003,"689*")+SUMIFS('Accounting data'!$G$2:$G$37003,'Accounting data'!$H$2:$H$37003,"12*",'Accounting data'!$I$2:$I$37003,"7*",'Accounting data'!$J$2:$J$37003,"2*",'Accounting data'!$K$2:$K$37003,"689*")+SUMIFS('Accounting data'!$G$2:$G$37003,'Accounting data'!$H$2:$H$37003,"13*",'Accounting data'!$I$2:$I$37003,"7*",'Accounting data'!$J$2:$J$37003,"2*",'Accounting data'!$K$2:$K$37003,"689*")</f>
        <v>0</v>
      </c>
    </row>
    <row r="1209" spans="1:5" x14ac:dyDescent="0.25">
      <c r="A1209" s="556" t="s">
        <v>1026</v>
      </c>
      <c r="B1209" s="558">
        <v>800</v>
      </c>
      <c r="C1209" s="556">
        <v>2000</v>
      </c>
      <c r="D1209" s="556">
        <v>6890</v>
      </c>
      <c r="E1209" s="557">
        <f>SUMIFS('Accounting data'!$G$2:$G$37003,'Accounting data'!$H$2:$H$37003,"11*",'Accounting data'!$I$2:$I$37003,"8*",'Accounting data'!$J$2:$J$37003,"2*",'Accounting data'!$K$2:$K$37003,"689*")+SUMIFS('Accounting data'!$G$2:$G$37003,'Accounting data'!$H$2:$H$37003,"12*",'Accounting data'!$I$2:$I$37003,"8*",'Accounting data'!$J$2:$J$37003,"2*",'Accounting data'!$K$2:$K$37003,"689*")+SUMIFS('Accounting data'!$G$2:$G$37003,'Accounting data'!$H$2:$H$37003,"13*",'Accounting data'!$I$2:$I$37003,"8*",'Accounting data'!$J$2:$J$37003,"2*",'Accounting data'!$K$2:$K$37003,"689*")</f>
        <v>0</v>
      </c>
    </row>
    <row r="1210" spans="1:5" x14ac:dyDescent="0.25">
      <c r="A1210" s="556" t="s">
        <v>1026</v>
      </c>
      <c r="B1210" s="558">
        <v>900</v>
      </c>
      <c r="C1210" s="556">
        <v>2000</v>
      </c>
      <c r="D1210" s="556">
        <v>6890</v>
      </c>
      <c r="E1210" s="557">
        <f>SUMIFS('Accounting data'!$G$2:$G$37003,'Accounting data'!$H$2:$H$37003,"11*",'Accounting data'!$I$2:$I$37003,"9*",'Accounting data'!$J$2:$J$37003,"2*",'Accounting data'!$K$2:$K$37003,"689*")+SUMIFS('Accounting data'!$G$2:$G$37003,'Accounting data'!$H$2:$H$37003,"12*",'Accounting data'!$I$2:$I$37003,"9*",'Accounting data'!$J$2:$J$37003,"2*",'Accounting data'!$K$2:$K$37003,"689*")+SUMIFS('Accounting data'!$G$2:$G$37003,'Accounting data'!$H$2:$H$37003,"13*",'Accounting data'!$I$2:$I$37003,"9*",'Accounting data'!$J$2:$J$37003,"2*",'Accounting data'!$K$2:$K$37003,"689*")</f>
        <v>0</v>
      </c>
    </row>
    <row r="1211" spans="1:5" x14ac:dyDescent="0.25">
      <c r="A1211" s="556" t="s">
        <v>1026</v>
      </c>
      <c r="B1211" s="558">
        <v>700</v>
      </c>
      <c r="C1211" s="556">
        <v>3000</v>
      </c>
      <c r="D1211" s="556">
        <v>6890</v>
      </c>
      <c r="E1211" s="557">
        <f>SUMIFS('Accounting data'!$G$2:$G$37003,'Accounting data'!$H$2:$H$37003,"11*",'Accounting data'!$I$2:$I$37003,"7*",'Accounting data'!$J$2:$J$37003,"3*",'Accounting data'!$K$2:$K$37003,"689*")+SUMIFS('Accounting data'!$G$2:$G$37003,'Accounting data'!$H$2:$H$37003,"12*",'Accounting data'!$I$2:$I$37003,"7*",'Accounting data'!$J$2:$J$37003,"3*",'Accounting data'!$K$2:$K$37003,"689*")+SUMIFS('Accounting data'!$G$2:$G$37003,'Accounting data'!$H$2:$H$37003,"13*",'Accounting data'!$I$2:$I$37003,"7*",'Accounting data'!$J$2:$J$37003,"3*",'Accounting data'!$K$2:$K$37003,"689*")</f>
        <v>0</v>
      </c>
    </row>
    <row r="1212" spans="1:5" x14ac:dyDescent="0.25">
      <c r="A1212" s="556" t="s">
        <v>1026</v>
      </c>
      <c r="B1212" s="558">
        <v>800</v>
      </c>
      <c r="C1212" s="556">
        <v>3000</v>
      </c>
      <c r="D1212" s="556">
        <v>6890</v>
      </c>
      <c r="E1212" s="557">
        <f>SUMIFS('Accounting data'!$G$2:$G$37003,'Accounting data'!$H$2:$H$37003,"11*",'Accounting data'!$I$2:$I$37003,"8*",'Accounting data'!$J$2:$J$37003,"3*",'Accounting data'!$K$2:$K$37003,"689*")+SUMIFS('Accounting data'!$G$2:$G$37003,'Accounting data'!$H$2:$H$37003,"12*",'Accounting data'!$I$2:$I$37003,"8*",'Accounting data'!$J$2:$J$37003,"3*",'Accounting data'!$K$2:$K$37003,"689*")+SUMIFS('Accounting data'!$G$2:$G$37003,'Accounting data'!$H$2:$H$37003,"13*",'Accounting data'!$I$2:$I$37003,"8*",'Accounting data'!$J$2:$J$37003,"3*",'Accounting data'!$K$2:$K$37003,"689*")</f>
        <v>0</v>
      </c>
    </row>
    <row r="1213" spans="1:5" x14ac:dyDescent="0.25">
      <c r="A1213" s="556" t="s">
        <v>1026</v>
      </c>
      <c r="B1213" s="558">
        <v>900</v>
      </c>
      <c r="C1213" s="556">
        <v>3000</v>
      </c>
      <c r="D1213" s="556">
        <v>6890</v>
      </c>
      <c r="E1213" s="557">
        <f>SUMIFS('Accounting data'!$G$2:$G$37003,'Accounting data'!$H$2:$H$37003,"11*",'Accounting data'!$I$2:$I$37003,"9*",'Accounting data'!$J$2:$J$37003,"3*",'Accounting data'!$K$2:$K$37003,"689*")+SUMIFS('Accounting data'!$G$2:$G$37003,'Accounting data'!$H$2:$H$37003,"12*",'Accounting data'!$I$2:$I$37003,"9*",'Accounting data'!$J$2:$J$37003,"3*",'Accounting data'!$K$2:$K$37003,"689*")+SUMIFS('Accounting data'!$G$2:$G$37003,'Accounting data'!$H$2:$H$37003,"13*",'Accounting data'!$I$2:$I$37003,"9*",'Accounting data'!$J$2:$J$37003,"3*",'Accounting data'!$K$2:$K$37003,"689*")</f>
        <v>0</v>
      </c>
    </row>
    <row r="1214" spans="1:5" x14ac:dyDescent="0.25">
      <c r="A1214" s="559" t="s">
        <v>1106</v>
      </c>
      <c r="B1214" s="559"/>
      <c r="C1214" s="559"/>
      <c r="D1214" s="559"/>
      <c r="E1214" s="561">
        <f>(E1202+E1203+E1204)-(E1205+E1206+E1207+E1208+E1209+E1210+E1211+E1212+E1213)</f>
        <v>0</v>
      </c>
    </row>
    <row r="1215" spans="1:5" x14ac:dyDescent="0.25">
      <c r="A1215" s="556" t="s">
        <v>1010</v>
      </c>
      <c r="B1215" s="556" t="s">
        <v>1012</v>
      </c>
      <c r="C1215" s="556">
        <v>1000</v>
      </c>
      <c r="D1215" s="556">
        <v>6000</v>
      </c>
      <c r="E1215" s="557">
        <f>SUMIFS('Accounting data'!$G$2:$G$37003,'Accounting data'!$I$2:$I$37003,"7*",'Accounting data'!$J$2:$J$37003,"1*",'Accounting data'!$K$2:$K$37003,"6*")+SUMIFS('Accounting data'!$G$2:$G$37003,'Accounting data'!$I$2:$I$37003,"8*",'Accounting data'!$J$2:$J$37003,"1*",'Accounting data'!$K$2:$K$37003,"6*")+SUMIFS('Accounting data'!$G$2:$G$37003,'Accounting data'!$I$2:$I$37003,"9*",'Accounting data'!$J$2:$J$37003,"1*",'Accounting data'!$K$2:$K$37003,"6*")</f>
        <v>0</v>
      </c>
    </row>
    <row r="1216" spans="1:5" x14ac:dyDescent="0.25">
      <c r="A1216" s="556" t="s">
        <v>1010</v>
      </c>
      <c r="B1216" s="556" t="s">
        <v>1012</v>
      </c>
      <c r="C1216" s="556">
        <v>1000</v>
      </c>
      <c r="D1216" s="556">
        <v>6900</v>
      </c>
      <c r="E1216" s="557">
        <f>SUMIFS('Accounting data'!$G$2:$G$37003,'Accounting data'!$I$2:$I$37003,"7*",'Accounting data'!$J$2:$J$37003,"1*",'Accounting data'!$K$2:$K$37003,"69*")+SUMIFS('Accounting data'!$G$2:$G$37003,'Accounting data'!$I$2:$I$37003,"8*",'Accounting data'!$J$2:$J$37003,"1*",'Accounting data'!$K$2:$K$37003,"69*")+SUMIFS('Accounting data'!$G$2:$G$37003,'Accounting data'!$I$2:$I$37003,"9*",'Accounting data'!$J$2:$J$37003,"1*",'Accounting data'!$K$2:$K$37003,"69*")</f>
        <v>0</v>
      </c>
    </row>
    <row r="1217" spans="1:5" x14ac:dyDescent="0.25">
      <c r="A1217" s="556" t="s">
        <v>1010</v>
      </c>
      <c r="B1217" s="556" t="s">
        <v>1012</v>
      </c>
      <c r="C1217" s="556">
        <v>1000</v>
      </c>
      <c r="D1217" s="565">
        <v>6700</v>
      </c>
      <c r="E1217" s="557">
        <f>SUMIFS('Accounting data'!$G$2:$G$37003,'Accounting data'!$I$2:$I$37003,"7*",'Accounting data'!$J$2:$J$37003,"1*",'Accounting data'!$K$2:$K$37003,"67*")+SUMIFS('Accounting data'!$G$2:$G$37003,'Accounting data'!$I$2:$I$37003,"8*",'Accounting data'!$J$2:$J$37003,"1*",'Accounting data'!$K$2:$K$37003,"67*")+SUMIFS('Accounting data'!$G$2:$G$37003,'Accounting data'!$I$2:$I$37003,"9*",'Accounting data'!$J$2:$J$37003,"1*",'Accounting data'!$K$2:$K$37003,"67*")</f>
        <v>0</v>
      </c>
    </row>
    <row r="1218" spans="1:5" x14ac:dyDescent="0.25">
      <c r="A1218" s="558" t="s">
        <v>1011</v>
      </c>
      <c r="B1218" s="556" t="s">
        <v>1012</v>
      </c>
      <c r="C1218" s="556">
        <v>1000</v>
      </c>
      <c r="D1218" s="556">
        <v>6000</v>
      </c>
      <c r="E1218" s="557">
        <f>SUMIFS('Accounting data'!$G$2:$G$37003,'Accounting data'!$H$2:$H$37003,"9999*",'Accounting data'!$I$2:$I$37003,"7*",'Accounting data'!$J$2:$J$37003,"1*",'Accounting data'!$K$2:$K$37003,"6*")+SUMIFS('Accounting data'!$G$2:$G$37003,'Accounting data'!$H$2:$H$37003,"9999*",'Accounting data'!$I$2:$I$37003,"8*",'Accounting data'!$J$2:$J$37003,"1*",'Accounting data'!$K$2:$K$37003,"6*")+SUMIFS('Accounting data'!$G$2:$G$37003,'Accounting data'!$H$2:$H$37003,"9999*",'Accounting data'!$I$2:$I$37003,"9*",'Accounting data'!$J$2:$J$37003,"1*",'Accounting data'!$K$2:$K$37003,"6*")</f>
        <v>0</v>
      </c>
    </row>
    <row r="1219" spans="1:5" x14ac:dyDescent="0.25">
      <c r="A1219" s="556"/>
      <c r="B1219" s="556"/>
      <c r="C1219" s="556"/>
      <c r="D1219" s="556"/>
      <c r="E1219" s="557"/>
    </row>
    <row r="1220" spans="1:5" x14ac:dyDescent="0.25">
      <c r="A1220" s="558" t="s">
        <v>1011</v>
      </c>
      <c r="B1220" s="556" t="s">
        <v>1012</v>
      </c>
      <c r="C1220" s="556">
        <v>1000</v>
      </c>
      <c r="D1220" s="556">
        <v>6900</v>
      </c>
      <c r="E1220" s="557">
        <f>SUMIFS('Accounting data'!$G$2:$G$37003,'Accounting data'!$H$2:$H$37003,"9999*",'Accounting data'!$I$2:$I$37003,"7*",'Accounting data'!$J$2:$J$37003,"1*",'Accounting data'!$K$2:$K$37003,"69*")+SUMIFS('Accounting data'!$G$2:$G$37003,'Accounting data'!$H$2:$H$37003,"9999*",'Accounting data'!$I$2:$I$37003,"8*",'Accounting data'!$J$2:$J$37003,"1*",'Accounting data'!$K$2:$K$37003,"69*")+SUMIFS('Accounting data'!$G$2:$G$37003,'Accounting data'!$H$2:$H$37003,"9999*",'Accounting data'!$I$2:$I$37003,"9*",'Accounting data'!$J$2:$J$37003,"1*",'Accounting data'!$K$2:$K$37003,"69*")</f>
        <v>0</v>
      </c>
    </row>
    <row r="1221" spans="1:5" x14ac:dyDescent="0.25">
      <c r="A1221" s="556"/>
      <c r="B1221" s="556"/>
      <c r="C1221" s="556"/>
      <c r="D1221" s="556"/>
      <c r="E1221" s="557"/>
    </row>
    <row r="1222" spans="1:5" x14ac:dyDescent="0.25">
      <c r="A1222" s="558" t="s">
        <v>1011</v>
      </c>
      <c r="B1222" s="556" t="s">
        <v>1012</v>
      </c>
      <c r="C1222" s="556">
        <v>1000</v>
      </c>
      <c r="D1222" s="565">
        <v>6700</v>
      </c>
      <c r="E1222" s="557">
        <f>SUMIFS('Accounting data'!$G$2:$G$37003,'Accounting data'!$H$2:$H$37003,"9999*",'Accounting data'!$I$2:$I$37003,"7*",'Accounting data'!$J$2:$J$37003,"1*",'Accounting data'!$K$2:$K$37003,"67*")+SUMIFS('Accounting data'!$G$2:$G$37003,'Accounting data'!$H$2:$H$37003,"9999*",'Accounting data'!$I$2:$I$37003,"8*",'Accounting data'!$J$2:$J$37003,"1*",'Accounting data'!$K$2:$K$37003,"67*")+SUMIFS('Accounting data'!$G$2:$G$37003,'Accounting data'!$H$2:$H$37003,"9999*",'Accounting data'!$I$2:$I$37003,"9*",'Accounting data'!$J$2:$J$37003,"1*",'Accounting data'!$K$2:$K$37003,"67*")</f>
        <v>0</v>
      </c>
    </row>
    <row r="1223" spans="1:5" x14ac:dyDescent="0.25">
      <c r="A1223" s="558"/>
      <c r="B1223" s="556"/>
      <c r="C1223" s="556"/>
      <c r="D1223" s="565"/>
      <c r="E1223" s="557"/>
    </row>
    <row r="1224" spans="1:5" x14ac:dyDescent="0.25">
      <c r="A1224" s="558"/>
      <c r="B1224" s="556"/>
      <c r="C1224" s="556"/>
      <c r="D1224" s="565"/>
      <c r="E1224" s="557"/>
    </row>
    <row r="1225" spans="1:5" x14ac:dyDescent="0.25">
      <c r="A1225" s="559" t="s">
        <v>1107</v>
      </c>
      <c r="B1225" s="559"/>
      <c r="C1225" s="559"/>
      <c r="D1225" s="559"/>
      <c r="E1225" s="561">
        <f>(E1215-E1216-E1217)-((E1218+E1219)-(E1220+E1221))-(E1222+E1223+E1224)</f>
        <v>0</v>
      </c>
    </row>
    <row r="1226" spans="1:5" x14ac:dyDescent="0.25">
      <c r="A1226" s="556" t="s">
        <v>1010</v>
      </c>
      <c r="B1226" s="556" t="s">
        <v>1012</v>
      </c>
      <c r="C1226" s="556">
        <v>2100</v>
      </c>
      <c r="D1226" s="556">
        <v>6000</v>
      </c>
      <c r="E1226" s="557">
        <f>SUMIFS('Accounting data'!$G$2:$G$37003,'Accounting data'!$I$2:$I$37003,"7*",'Accounting data'!$J$2:$J$37003,"21*",'Accounting data'!$K$2:$K$37003,"6*")+SUMIFS('Accounting data'!$G$2:$G$37003,'Accounting data'!$I$2:$I$37003,"8*",'Accounting data'!$J$2:$J$37003,"21*",'Accounting data'!$K$2:$K$37003,"6*")+SUMIFS('Accounting data'!$G$2:$G$37003,'Accounting data'!$I$2:$I$37003,"9*",'Accounting data'!$J$2:$J$37003,"21*",'Accounting data'!$K$2:$K$37003,"6*")</f>
        <v>0</v>
      </c>
    </row>
    <row r="1227" spans="1:5" x14ac:dyDescent="0.25">
      <c r="A1227" s="556" t="s">
        <v>1010</v>
      </c>
      <c r="B1227" s="556" t="s">
        <v>1012</v>
      </c>
      <c r="C1227" s="556">
        <v>2100</v>
      </c>
      <c r="D1227" s="556">
        <v>6900</v>
      </c>
      <c r="E1227" s="557">
        <f>SUMIFS('Accounting data'!$G$2:$G$37003,'Accounting data'!$I$2:$I$37003,"7*",'Accounting data'!$J$2:$J$37003,"21*",'Accounting data'!$K$2:$K$37003,"69*")+SUMIFS('Accounting data'!$G$2:$G$37003,'Accounting data'!$I$2:$I$37003,"8*",'Accounting data'!$J$2:$J$37003,"21*",'Accounting data'!$K$2:$K$37003,"69*")+SUMIFS('Accounting data'!$G$2:$G$37003,'Accounting data'!$I$2:$I$37003,"9*",'Accounting data'!$J$2:$J$37003,"21*",'Accounting data'!$K$2:$K$37003,"69*")</f>
        <v>0</v>
      </c>
    </row>
    <row r="1228" spans="1:5" x14ac:dyDescent="0.25">
      <c r="A1228" s="556" t="s">
        <v>1010</v>
      </c>
      <c r="B1228" s="556" t="s">
        <v>1012</v>
      </c>
      <c r="C1228" s="556">
        <v>2100</v>
      </c>
      <c r="D1228" s="565">
        <v>6700</v>
      </c>
      <c r="E1228" s="557">
        <f>SUMIFS('Accounting data'!$G$2:$G$37003,'Accounting data'!$I$2:$I$37003,"7*",'Accounting data'!$J$2:$J$37003,"21*",'Accounting data'!$K$2:$K$37003,"67*")+SUMIFS('Accounting data'!$G$2:$G$37003,'Accounting data'!$I$2:$I$37003,"8*",'Accounting data'!$J$2:$J$37003,"21*",'Accounting data'!$K$2:$K$37003,"67*")+SUMIFS('Accounting data'!$G$2:$G$37003,'Accounting data'!$I$2:$I$37003,"9*",'Accounting data'!$J$2:$J$37003,"21*",'Accounting data'!$K$2:$K$37003,"67*")</f>
        <v>0</v>
      </c>
    </row>
    <row r="1229" spans="1:5" x14ac:dyDescent="0.25">
      <c r="A1229" s="558" t="s">
        <v>1011</v>
      </c>
      <c r="B1229" s="556" t="s">
        <v>1012</v>
      </c>
      <c r="C1229" s="556">
        <v>2100</v>
      </c>
      <c r="D1229" s="556">
        <v>6000</v>
      </c>
      <c r="E1229" s="557">
        <f>SUMIFS('Accounting data'!$G$2:$G$37003,'Accounting data'!$H$2:$H$37003,"9999*",'Accounting data'!$I$2:$I$37003,"7*",'Accounting data'!$J$2:$J$37003,"21*",'Accounting data'!$K$2:$K$37003,"6*")+SUMIFS('Accounting data'!$G$2:$G$37003,'Accounting data'!$H$2:$H$37003,"9999*",'Accounting data'!$I$2:$I$37003,"8*",'Accounting data'!$J$2:$J$37003,"21*",'Accounting data'!$K$2:$K$37003,"6*")+SUMIFS('Accounting data'!$G$2:$G$37003,'Accounting data'!$H$2:$H$37003,"9999*",'Accounting data'!$I$2:$I$37003,"9*",'Accounting data'!$J$2:$J$37003,"21*",'Accounting data'!$K$2:$K$37003,"6*")</f>
        <v>0</v>
      </c>
    </row>
    <row r="1230" spans="1:5" x14ac:dyDescent="0.25">
      <c r="A1230" s="556"/>
      <c r="B1230" s="556"/>
      <c r="C1230" s="556"/>
      <c r="D1230" s="556"/>
      <c r="E1230" s="557"/>
    </row>
    <row r="1231" spans="1:5" x14ac:dyDescent="0.25">
      <c r="A1231" s="558" t="s">
        <v>1011</v>
      </c>
      <c r="B1231" s="556" t="s">
        <v>1012</v>
      </c>
      <c r="C1231" s="556">
        <v>2100</v>
      </c>
      <c r="D1231" s="556">
        <v>6900</v>
      </c>
      <c r="E1231" s="557">
        <f>SUMIFS('Accounting data'!$G$2:$G$37003,'Accounting data'!$H$2:$H$37003,"9999*",'Accounting data'!$I$2:$I$37003,"7*",'Accounting data'!$J$2:$J$37003,"21*",'Accounting data'!$K$2:$K$37003,"69*")+SUMIFS('Accounting data'!$G$2:$G$37003,'Accounting data'!$H$2:$H$37003,"9999*",'Accounting data'!$I$2:$I$37003,"8*",'Accounting data'!$J$2:$J$37003,"21*",'Accounting data'!$K$2:$K$37003,"69*")+SUMIFS('Accounting data'!$G$2:$G$37003,'Accounting data'!$H$2:$H$37003,"9999*",'Accounting data'!$I$2:$I$37003,"9*",'Accounting data'!$J$2:$J$37003,"21*",'Accounting data'!$K$2:$K$37003,"69*")</f>
        <v>0</v>
      </c>
    </row>
    <row r="1232" spans="1:5" x14ac:dyDescent="0.25">
      <c r="A1232" s="556"/>
      <c r="B1232" s="556"/>
      <c r="C1232" s="556"/>
      <c r="D1232" s="556"/>
      <c r="E1232" s="557"/>
    </row>
    <row r="1233" spans="1:5" x14ac:dyDescent="0.25">
      <c r="A1233" s="558" t="s">
        <v>1011</v>
      </c>
      <c r="B1233" s="556" t="s">
        <v>1012</v>
      </c>
      <c r="C1233" s="556">
        <v>2100</v>
      </c>
      <c r="D1233" s="565">
        <v>6700</v>
      </c>
      <c r="E1233" s="557">
        <f>SUMIFS('Accounting data'!$G$2:$G$37003,'Accounting data'!$H$2:$H$37003,"9999*",'Accounting data'!$I$2:$I$37003,"7*",'Accounting data'!$J$2:$J$37003,"21*",'Accounting data'!$K$2:$K$37003,"67*")+SUMIFS('Accounting data'!$G$2:$G$37003,'Accounting data'!$H$2:$H$37003,"9999*",'Accounting data'!$I$2:$I$37003,"8*",'Accounting data'!$J$2:$J$37003,"21*",'Accounting data'!$K$2:$K$37003,"67*")+SUMIFS('Accounting data'!$G$2:$G$37003,'Accounting data'!$H$2:$H$37003,"9999*",'Accounting data'!$I$2:$I$37003,"9*",'Accounting data'!$J$2:$J$37003,"21*",'Accounting data'!$K$2:$K$37003,"67*")</f>
        <v>0</v>
      </c>
    </row>
    <row r="1234" spans="1:5" x14ac:dyDescent="0.25">
      <c r="A1234" s="558"/>
      <c r="B1234" s="556"/>
      <c r="C1234" s="556"/>
      <c r="D1234" s="565"/>
      <c r="E1234" s="557"/>
    </row>
    <row r="1235" spans="1:5" x14ac:dyDescent="0.25">
      <c r="A1235" s="558"/>
      <c r="B1235" s="556"/>
      <c r="C1235" s="556"/>
      <c r="D1235" s="565"/>
      <c r="E1235" s="557"/>
    </row>
    <row r="1236" spans="1:5" x14ac:dyDescent="0.25">
      <c r="A1236" s="559" t="s">
        <v>1108</v>
      </c>
      <c r="B1236" s="559"/>
      <c r="C1236" s="559"/>
      <c r="D1236" s="559"/>
      <c r="E1236" s="561">
        <f>(E1226-E1227-E1228)-((E1229+E1230)-(E1231+E1232))-(E1233+E1234+E1235)</f>
        <v>0</v>
      </c>
    </row>
    <row r="1237" spans="1:5" x14ac:dyDescent="0.25">
      <c r="A1237" s="556" t="s">
        <v>1010</v>
      </c>
      <c r="B1237" s="556" t="s">
        <v>1012</v>
      </c>
      <c r="C1237" s="556">
        <v>2200</v>
      </c>
      <c r="D1237" s="556">
        <v>6000</v>
      </c>
      <c r="E1237" s="557">
        <f>SUMIFS('Accounting data'!$G$2:$G$37003,'Accounting data'!$I$2:$I$37003,"7*",'Accounting data'!$J$2:$J$37003,"22*",'Accounting data'!$K$2:$K$37003,"6*")+SUMIFS('Accounting data'!$G$2:$G$37003,'Accounting data'!$I$2:$I$37003,"8*",'Accounting data'!$J$2:$J$37003,"22*",'Accounting data'!$K$2:$K$37003,"6*")+SUMIFS('Accounting data'!$G$2:$G$37003,'Accounting data'!$I$2:$I$37003,"9*",'Accounting data'!$J$2:$J$37003,"22*",'Accounting data'!$K$2:$K$37003,"6*")</f>
        <v>0</v>
      </c>
    </row>
    <row r="1238" spans="1:5" x14ac:dyDescent="0.25">
      <c r="A1238" s="556" t="s">
        <v>1010</v>
      </c>
      <c r="B1238" s="556" t="s">
        <v>1012</v>
      </c>
      <c r="C1238" s="556">
        <v>2200</v>
      </c>
      <c r="D1238" s="556">
        <v>6900</v>
      </c>
      <c r="E1238" s="557">
        <f>SUMIFS('Accounting data'!$G$2:$G$37003,'Accounting data'!$I$2:$I$37003,"7*",'Accounting data'!$J$2:$J$37003,"22*",'Accounting data'!$K$2:$K$37003,"69*")+SUMIFS('Accounting data'!$G$2:$G$37003,'Accounting data'!$I$2:$I$37003,"8*",'Accounting data'!$J$2:$J$37003,"22*",'Accounting data'!$K$2:$K$37003,"69*")+SUMIFS('Accounting data'!$G$2:$G$37003,'Accounting data'!$I$2:$I$37003,"9*",'Accounting data'!$J$2:$J$37003,"22*",'Accounting data'!$K$2:$K$37003,"69*")</f>
        <v>0</v>
      </c>
    </row>
    <row r="1239" spans="1:5" x14ac:dyDescent="0.25">
      <c r="A1239" s="556" t="s">
        <v>1010</v>
      </c>
      <c r="B1239" s="556" t="s">
        <v>1012</v>
      </c>
      <c r="C1239" s="556">
        <v>2200</v>
      </c>
      <c r="D1239" s="565">
        <v>6700</v>
      </c>
      <c r="E1239" s="557">
        <f>SUMIFS('Accounting data'!$G$2:$G$37003,'Accounting data'!$I$2:$I$37003,"7*",'Accounting data'!$J$2:$J$37003,"22*",'Accounting data'!$K$2:$K$37003,"67*")+SUMIFS('Accounting data'!$G$2:$G$37003,'Accounting data'!$I$2:$I$37003,"8*",'Accounting data'!$J$2:$J$37003,"22*",'Accounting data'!$K$2:$K$37003,"67*")+SUMIFS('Accounting data'!$G$2:$G$37003,'Accounting data'!$I$2:$I$37003,"9*",'Accounting data'!$J$2:$J$37003,"22*",'Accounting data'!$K$2:$K$37003,"67*")</f>
        <v>0</v>
      </c>
    </row>
    <row r="1240" spans="1:5" x14ac:dyDescent="0.25">
      <c r="A1240" s="558" t="s">
        <v>1011</v>
      </c>
      <c r="B1240" s="556" t="s">
        <v>1012</v>
      </c>
      <c r="C1240" s="556">
        <v>2200</v>
      </c>
      <c r="D1240" s="556">
        <v>6000</v>
      </c>
      <c r="E1240" s="557">
        <f>SUMIFS('Accounting data'!$G$2:$G$37003,'Accounting data'!$H$2:$H$37003,"9999*",'Accounting data'!$I$2:$I$37003,"7*",'Accounting data'!$J$2:$J$37003,"22*",'Accounting data'!$K$2:$K$37003,"6*")+SUMIFS('Accounting data'!$G$2:$G$37003,'Accounting data'!$H$2:$H$37003,"9999*",'Accounting data'!$I$2:$I$37003,"8*",'Accounting data'!$J$2:$J$37003,"22*",'Accounting data'!$K$2:$K$37003,"6*")+SUMIFS('Accounting data'!$G$2:$G$37003,'Accounting data'!$H$2:$H$37003,"9999*",'Accounting data'!$I$2:$I$37003,"9*",'Accounting data'!$J$2:$J$37003,"22*",'Accounting data'!$K$2:$K$37003,"6*")</f>
        <v>0</v>
      </c>
    </row>
    <row r="1241" spans="1:5" x14ac:dyDescent="0.25">
      <c r="A1241" s="556"/>
      <c r="B1241" s="556"/>
      <c r="C1241" s="556"/>
      <c r="D1241" s="556"/>
      <c r="E1241" s="557"/>
    </row>
    <row r="1242" spans="1:5" x14ac:dyDescent="0.25">
      <c r="A1242" s="558" t="s">
        <v>1011</v>
      </c>
      <c r="B1242" s="556" t="s">
        <v>1012</v>
      </c>
      <c r="C1242" s="556">
        <v>2200</v>
      </c>
      <c r="D1242" s="556">
        <v>6900</v>
      </c>
      <c r="E1242" s="557">
        <f>SUMIFS('Accounting data'!$G$2:$G$37003,'Accounting data'!$H$2:$H$37003,"9999*",'Accounting data'!$I$2:$I$37003,"7*",'Accounting data'!$J$2:$J$37003,"22*",'Accounting data'!$K$2:$K$37003,"69*")+SUMIFS('Accounting data'!$G$2:$G$37003,'Accounting data'!$H$2:$H$37003,"9999*",'Accounting data'!$I$2:$I$37003,"8*",'Accounting data'!$J$2:$J$37003,"22*",'Accounting data'!$K$2:$K$37003,"69*")+SUMIFS('Accounting data'!$G$2:$G$37003,'Accounting data'!$H$2:$H$37003,"9999*",'Accounting data'!$I$2:$I$37003,"9*",'Accounting data'!$J$2:$J$37003,"22*",'Accounting data'!$K$2:$K$37003,"69*")</f>
        <v>0</v>
      </c>
    </row>
    <row r="1243" spans="1:5" x14ac:dyDescent="0.25">
      <c r="A1243" s="556"/>
      <c r="B1243" s="556"/>
      <c r="C1243" s="556"/>
      <c r="D1243" s="556"/>
      <c r="E1243" s="557"/>
    </row>
    <row r="1244" spans="1:5" x14ac:dyDescent="0.25">
      <c r="A1244" s="558" t="s">
        <v>1011</v>
      </c>
      <c r="B1244" s="556" t="s">
        <v>1012</v>
      </c>
      <c r="C1244" s="556">
        <v>2200</v>
      </c>
      <c r="D1244" s="565">
        <v>6700</v>
      </c>
      <c r="E1244" s="557">
        <f>SUMIFS('Accounting data'!$G$2:$G$37003,'Accounting data'!$H$2:$H$37003,"9999*",'Accounting data'!$I$2:$I$37003,"7*",'Accounting data'!$J$2:$J$37003,"22*",'Accounting data'!$K$2:$K$37003,"67*")+SUMIFS('Accounting data'!$G$2:$G$37003,'Accounting data'!$H$2:$H$37003,"9999*",'Accounting data'!$I$2:$I$37003,"8*",'Accounting data'!$J$2:$J$37003,"22*",'Accounting data'!$K$2:$K$37003,"67*")+SUMIFS('Accounting data'!$G$2:$G$37003,'Accounting data'!$H$2:$H$37003,"9999*",'Accounting data'!$I$2:$I$37003,"9*",'Accounting data'!$J$2:$J$37003,"22*",'Accounting data'!$K$2:$K$37003,"67*")</f>
        <v>0</v>
      </c>
    </row>
    <row r="1245" spans="1:5" x14ac:dyDescent="0.25">
      <c r="A1245" s="558"/>
      <c r="B1245" s="556"/>
      <c r="C1245" s="556"/>
      <c r="D1245" s="565"/>
      <c r="E1245" s="557"/>
    </row>
    <row r="1246" spans="1:5" x14ac:dyDescent="0.25">
      <c r="A1246" s="558"/>
      <c r="B1246" s="556"/>
      <c r="C1246" s="556"/>
      <c r="D1246" s="565"/>
      <c r="E1246" s="557"/>
    </row>
    <row r="1247" spans="1:5" x14ac:dyDescent="0.25">
      <c r="A1247" s="559" t="s">
        <v>1109</v>
      </c>
      <c r="B1247" s="559"/>
      <c r="C1247" s="559"/>
      <c r="D1247" s="559"/>
      <c r="E1247" s="561">
        <f>(E1237-E1238-E1239)-((E1240+E1241)-(E1242+E1243))-(E1244+E1245+E1246)</f>
        <v>0</v>
      </c>
    </row>
    <row r="1248" spans="1:5" x14ac:dyDescent="0.25">
      <c r="A1248" s="556" t="s">
        <v>1010</v>
      </c>
      <c r="B1248" s="556" t="s">
        <v>1012</v>
      </c>
      <c r="C1248" s="556">
        <v>2300</v>
      </c>
      <c r="D1248" s="556">
        <v>6000</v>
      </c>
      <c r="E1248" s="557">
        <f>SUMIFS('Accounting data'!$G$2:$G$37003,'Accounting data'!$I$2:$I$37003,"7*",'Accounting data'!$J$2:$J$37003,"23*",'Accounting data'!$K$2:$K$37003,"6*")+SUMIFS('Accounting data'!$G$2:$G$37003,'Accounting data'!$I$2:$I$37003,"8*",'Accounting data'!$J$2:$J$37003,"23*",'Accounting data'!$K$2:$K$37003,"6*")+SUMIFS('Accounting data'!$G$2:$G$37003,'Accounting data'!$I$2:$I$37003,"9*",'Accounting data'!$J$2:$J$37003,"23*",'Accounting data'!$K$2:$K$37003,"6*")</f>
        <v>0</v>
      </c>
    </row>
    <row r="1249" spans="1:5" x14ac:dyDescent="0.25">
      <c r="A1249" s="556" t="s">
        <v>1010</v>
      </c>
      <c r="B1249" s="556" t="s">
        <v>1012</v>
      </c>
      <c r="C1249" s="556">
        <v>2300</v>
      </c>
      <c r="D1249" s="556">
        <v>6900</v>
      </c>
      <c r="E1249" s="557">
        <f>SUMIFS('Accounting data'!$G$2:$G$37003,'Accounting data'!$I$2:$I$37003,"7*",'Accounting data'!$J$2:$J$37003,"23*",'Accounting data'!$K$2:$K$37003,"69*")+SUMIFS('Accounting data'!$G$2:$G$37003,'Accounting data'!$I$2:$I$37003,"8*",'Accounting data'!$J$2:$J$37003,"23*",'Accounting data'!$K$2:$K$37003,"69*")+SUMIFS('Accounting data'!$G$2:$G$37003,'Accounting data'!$I$2:$I$37003,"9*",'Accounting data'!$J$2:$J$37003,"23*",'Accounting data'!$K$2:$K$37003,"69*")</f>
        <v>0</v>
      </c>
    </row>
    <row r="1250" spans="1:5" x14ac:dyDescent="0.25">
      <c r="A1250" s="556" t="s">
        <v>1010</v>
      </c>
      <c r="B1250" s="556" t="s">
        <v>1012</v>
      </c>
      <c r="C1250" s="556">
        <v>2300</v>
      </c>
      <c r="D1250" s="565">
        <v>6700</v>
      </c>
      <c r="E1250" s="557">
        <f>SUMIFS('Accounting data'!$G$2:$G$37003,'Accounting data'!$I$2:$I$37003,"7*",'Accounting data'!$J$2:$J$37003,"23*",'Accounting data'!$K$2:$K$37003,"67*")+SUMIFS('Accounting data'!$G$2:$G$37003,'Accounting data'!$I$2:$I$37003,"8*",'Accounting data'!$J$2:$J$37003,"23*",'Accounting data'!$K$2:$K$37003,"67*")+SUMIFS('Accounting data'!$G$2:$G$37003,'Accounting data'!$I$2:$I$37003,"9*",'Accounting data'!$J$2:$J$37003,"23*",'Accounting data'!$K$2:$K$37003,"67*")</f>
        <v>0</v>
      </c>
    </row>
    <row r="1251" spans="1:5" x14ac:dyDescent="0.25">
      <c r="A1251" s="558" t="s">
        <v>1011</v>
      </c>
      <c r="B1251" s="556" t="s">
        <v>1012</v>
      </c>
      <c r="C1251" s="556">
        <v>2300</v>
      </c>
      <c r="D1251" s="556">
        <v>6000</v>
      </c>
      <c r="E1251" s="557">
        <f>SUMIFS('Accounting data'!$G$2:$G$37003,'Accounting data'!$H$2:$H$37003,"9999*",'Accounting data'!$I$2:$I$37003,"7*",'Accounting data'!$J$2:$J$37003,"23*",'Accounting data'!$K$2:$K$37003,"6*")+SUMIFS('Accounting data'!$G$2:$G$37003,'Accounting data'!$H$2:$H$37003,"9999*",'Accounting data'!$I$2:$I$37003,"8*",'Accounting data'!$J$2:$J$37003,"23*",'Accounting data'!$K$2:$K$37003,"6*")+SUMIFS('Accounting data'!$G$2:$G$37003,'Accounting data'!$H$2:$H$37003,"9999*",'Accounting data'!$I$2:$I$37003,"9*",'Accounting data'!$J$2:$J$37003,"23*",'Accounting data'!$K$2:$K$37003,"6*")</f>
        <v>0</v>
      </c>
    </row>
    <row r="1252" spans="1:5" x14ac:dyDescent="0.25">
      <c r="A1252" s="556"/>
      <c r="B1252" s="556"/>
      <c r="C1252" s="556"/>
      <c r="D1252" s="556"/>
      <c r="E1252" s="557"/>
    </row>
    <row r="1253" spans="1:5" x14ac:dyDescent="0.25">
      <c r="A1253" s="558" t="s">
        <v>1011</v>
      </c>
      <c r="B1253" s="556" t="s">
        <v>1012</v>
      </c>
      <c r="C1253" s="556">
        <v>2300</v>
      </c>
      <c r="D1253" s="556">
        <v>6900</v>
      </c>
      <c r="E1253" s="557">
        <f>SUMIFS('Accounting data'!$G$2:$G$37003,'Accounting data'!$H$2:$H$37003,"9999*",'Accounting data'!$I$2:$I$37003,"7*",'Accounting data'!$J$2:$J$37003,"23*",'Accounting data'!$K$2:$K$37003,"69*")+SUMIFS('Accounting data'!$G$2:$G$37003,'Accounting data'!$H$2:$H$37003,"9999*",'Accounting data'!$I$2:$I$37003,"8*",'Accounting data'!$J$2:$J$37003,"23*",'Accounting data'!$K$2:$K$37003,"69*")+SUMIFS('Accounting data'!$G$2:$G$37003,'Accounting data'!$H$2:$H$37003,"9999*",'Accounting data'!$I$2:$I$37003,"9*",'Accounting data'!$J$2:$J$37003,"23*",'Accounting data'!$K$2:$K$37003,"69*")</f>
        <v>0</v>
      </c>
    </row>
    <row r="1254" spans="1:5" x14ac:dyDescent="0.25">
      <c r="A1254" s="556"/>
      <c r="B1254" s="556"/>
      <c r="C1254" s="556"/>
      <c r="D1254" s="556"/>
      <c r="E1254" s="557"/>
    </row>
    <row r="1255" spans="1:5" x14ac:dyDescent="0.25">
      <c r="A1255" s="558" t="s">
        <v>1011</v>
      </c>
      <c r="B1255" s="556" t="s">
        <v>1012</v>
      </c>
      <c r="C1255" s="556">
        <v>2300</v>
      </c>
      <c r="D1255" s="565">
        <v>6700</v>
      </c>
      <c r="E1255" s="557">
        <f>SUMIFS('Accounting data'!$G$2:$G$37003,'Accounting data'!$H$2:$H$37003,"9999*",'Accounting data'!$I$2:$I$37003,"7*",'Accounting data'!$J$2:$J$37003,"23*",'Accounting data'!$K$2:$K$37003,"67*")+SUMIFS('Accounting data'!$G$2:$G$37003,'Accounting data'!$H$2:$H$37003,"9999*",'Accounting data'!$I$2:$I$37003,"8*",'Accounting data'!$J$2:$J$37003,"23*",'Accounting data'!$K$2:$K$37003,"67*")+SUMIFS('Accounting data'!$G$2:$G$37003,'Accounting data'!$H$2:$H$37003,"9999*",'Accounting data'!$I$2:$I$37003,"9*",'Accounting data'!$J$2:$J$37003,"23*",'Accounting data'!$K$2:$K$37003,"67*")</f>
        <v>0</v>
      </c>
    </row>
    <row r="1256" spans="1:5" x14ac:dyDescent="0.25">
      <c r="A1256" s="558"/>
      <c r="B1256" s="556"/>
      <c r="C1256" s="556"/>
      <c r="D1256" s="565"/>
      <c r="E1256" s="557"/>
    </row>
    <row r="1257" spans="1:5" x14ac:dyDescent="0.25">
      <c r="A1257" s="558"/>
      <c r="B1257" s="556"/>
      <c r="C1257" s="556"/>
      <c r="D1257" s="565"/>
      <c r="E1257" s="557"/>
    </row>
    <row r="1258" spans="1:5" x14ac:dyDescent="0.25">
      <c r="A1258" s="559" t="s">
        <v>1110</v>
      </c>
      <c r="B1258" s="559"/>
      <c r="C1258" s="559"/>
      <c r="D1258" s="559"/>
      <c r="E1258" s="561">
        <f>(E1248-E1249-E1250)-((E1251+E1252)-(E1253+E1254))-(E1255+E1256+E1257)</f>
        <v>0</v>
      </c>
    </row>
    <row r="1259" spans="1:5" x14ac:dyDescent="0.25">
      <c r="A1259" s="556" t="s">
        <v>1010</v>
      </c>
      <c r="B1259" s="556" t="s">
        <v>1012</v>
      </c>
      <c r="C1259" s="556">
        <v>2400</v>
      </c>
      <c r="D1259" s="556">
        <v>6000</v>
      </c>
      <c r="E1259" s="557">
        <f>SUMIFS('Accounting data'!$G$2:$G$37003,'Accounting data'!$I$2:$I$37003,"7*",'Accounting data'!$J$2:$J$37003,"24*",'Accounting data'!$K$2:$K$37003,"6*")+SUMIFS('Accounting data'!$G$2:$G$37003,'Accounting data'!$I$2:$I$37003,"8*",'Accounting data'!$J$2:$J$37003,"24*",'Accounting data'!$K$2:$K$37003,"6*")+SUMIFS('Accounting data'!$G$2:$G$37003,'Accounting data'!$I$2:$I$37003,"9*",'Accounting data'!$J$2:$J$37003,"24*",'Accounting data'!$K$2:$K$37003,"6*")</f>
        <v>0</v>
      </c>
    </row>
    <row r="1260" spans="1:5" x14ac:dyDescent="0.25">
      <c r="A1260" s="556" t="s">
        <v>1010</v>
      </c>
      <c r="B1260" s="556" t="s">
        <v>1012</v>
      </c>
      <c r="C1260" s="556">
        <v>2400</v>
      </c>
      <c r="D1260" s="556">
        <v>6900</v>
      </c>
      <c r="E1260" s="557">
        <f>SUMIFS('Accounting data'!$G$2:$G$37003,'Accounting data'!$I$2:$I$37003,"7*",'Accounting data'!$J$2:$J$37003,"24*",'Accounting data'!$K$2:$K$37003,"69*")+SUMIFS('Accounting data'!$G$2:$G$37003,'Accounting data'!$I$2:$I$37003,"8*",'Accounting data'!$J$2:$J$37003,"24*",'Accounting data'!$K$2:$K$37003,"69*")+SUMIFS('Accounting data'!$G$2:$G$37003,'Accounting data'!$I$2:$I$37003,"9*",'Accounting data'!$J$2:$J$37003,"24*",'Accounting data'!$K$2:$K$37003,"69*")</f>
        <v>0</v>
      </c>
    </row>
    <row r="1261" spans="1:5" x14ac:dyDescent="0.25">
      <c r="A1261" s="556" t="s">
        <v>1010</v>
      </c>
      <c r="B1261" s="556" t="s">
        <v>1012</v>
      </c>
      <c r="C1261" s="556">
        <v>2400</v>
      </c>
      <c r="D1261" s="565">
        <v>6700</v>
      </c>
      <c r="E1261" s="557">
        <f>SUMIFS('Accounting data'!$G$2:$G$37003,'Accounting data'!$I$2:$I$37003,"7*",'Accounting data'!$J$2:$J$37003,"24*",'Accounting data'!$K$2:$K$37003,"67*")+SUMIFS('Accounting data'!$G$2:$G$37003,'Accounting data'!$I$2:$I$37003,"8*",'Accounting data'!$J$2:$J$37003,"24*",'Accounting data'!$K$2:$K$37003,"67*")+SUMIFS('Accounting data'!$G$2:$G$37003,'Accounting data'!$I$2:$I$37003,"9*",'Accounting data'!$J$2:$J$37003,"24*",'Accounting data'!$K$2:$K$37003,"67*")</f>
        <v>0</v>
      </c>
    </row>
    <row r="1262" spans="1:5" x14ac:dyDescent="0.25">
      <c r="A1262" s="558" t="s">
        <v>1011</v>
      </c>
      <c r="B1262" s="556" t="s">
        <v>1012</v>
      </c>
      <c r="C1262" s="556">
        <v>2400</v>
      </c>
      <c r="D1262" s="556">
        <v>6000</v>
      </c>
      <c r="E1262" s="557">
        <f>SUMIFS('Accounting data'!$G$2:$G$37003,'Accounting data'!$H$2:$H$37003,"9999*",'Accounting data'!$I$2:$I$37003,"7*",'Accounting data'!$J$2:$J$37003,"24*",'Accounting data'!$K$2:$K$37003,"6*")+SUMIFS('Accounting data'!$G$2:$G$37003,'Accounting data'!$H$2:$H$37003,"9999*",'Accounting data'!$I$2:$I$37003,"8*",'Accounting data'!$J$2:$J$37003,"24*",'Accounting data'!$K$2:$K$37003,"6*")+SUMIFS('Accounting data'!$G$2:$G$37003,'Accounting data'!$H$2:$H$37003,"9999*",'Accounting data'!$I$2:$I$37003,"9*",'Accounting data'!$J$2:$J$37003,"24*",'Accounting data'!$K$2:$K$37003,"6*")</f>
        <v>0</v>
      </c>
    </row>
    <row r="1263" spans="1:5" x14ac:dyDescent="0.25">
      <c r="A1263" s="556"/>
      <c r="B1263" s="556"/>
      <c r="C1263" s="556"/>
      <c r="D1263" s="556"/>
      <c r="E1263" s="557"/>
    </row>
    <row r="1264" spans="1:5" x14ac:dyDescent="0.25">
      <c r="A1264" s="558" t="s">
        <v>1011</v>
      </c>
      <c r="B1264" s="556" t="s">
        <v>1012</v>
      </c>
      <c r="C1264" s="556">
        <v>2400</v>
      </c>
      <c r="D1264" s="556">
        <v>6900</v>
      </c>
      <c r="E1264" s="557">
        <f>SUMIFS('Accounting data'!$G$2:$G$37003,'Accounting data'!$H$2:$H$37003,"9999*",'Accounting data'!$I$2:$I$37003,"7*",'Accounting data'!$J$2:$J$37003,"24*",'Accounting data'!$K$2:$K$37003,"69*")+SUMIFS('Accounting data'!$G$2:$G$37003,'Accounting data'!$H$2:$H$37003,"9999*",'Accounting data'!$I$2:$I$37003,"8*",'Accounting data'!$J$2:$J$37003,"24*",'Accounting data'!$K$2:$K$37003,"69*")+SUMIFS('Accounting data'!$G$2:$G$37003,'Accounting data'!$H$2:$H$37003,"9999*",'Accounting data'!$I$2:$I$37003,"9*",'Accounting data'!$J$2:$J$37003,"24*",'Accounting data'!$K$2:$K$37003,"69*")</f>
        <v>0</v>
      </c>
    </row>
    <row r="1265" spans="1:5" x14ac:dyDescent="0.25">
      <c r="A1265" s="556"/>
      <c r="B1265" s="556"/>
      <c r="C1265" s="556"/>
      <c r="D1265" s="556"/>
      <c r="E1265" s="557"/>
    </row>
    <row r="1266" spans="1:5" x14ac:dyDescent="0.25">
      <c r="A1266" s="558" t="s">
        <v>1011</v>
      </c>
      <c r="B1266" s="556" t="s">
        <v>1012</v>
      </c>
      <c r="C1266" s="556">
        <v>2400</v>
      </c>
      <c r="D1266" s="565">
        <v>6700</v>
      </c>
      <c r="E1266" s="557">
        <f>SUMIFS('Accounting data'!$G$2:$G$37003,'Accounting data'!$H$2:$H$37003,"9999*",'Accounting data'!$I$2:$I$37003,"7*",'Accounting data'!$J$2:$J$37003,"24*",'Accounting data'!$K$2:$K$37003,"67*")+SUMIFS('Accounting data'!$G$2:$G$37003,'Accounting data'!$H$2:$H$37003,"9999*",'Accounting data'!$I$2:$I$37003,"8*",'Accounting data'!$J$2:$J$37003,"24*",'Accounting data'!$K$2:$K$37003,"67*")+SUMIFS('Accounting data'!$G$2:$G$37003,'Accounting data'!$H$2:$H$37003,"9999*",'Accounting data'!$I$2:$I$37003,"9*",'Accounting data'!$J$2:$J$37003,"24*",'Accounting data'!$K$2:$K$37003,"67*")</f>
        <v>0</v>
      </c>
    </row>
    <row r="1267" spans="1:5" x14ac:dyDescent="0.25">
      <c r="A1267" s="558"/>
      <c r="B1267" s="556"/>
      <c r="C1267" s="556"/>
      <c r="D1267" s="565"/>
      <c r="E1267" s="557"/>
    </row>
    <row r="1268" spans="1:5" x14ac:dyDescent="0.25">
      <c r="A1268" s="558"/>
      <c r="B1268" s="556"/>
      <c r="C1268" s="556"/>
      <c r="D1268" s="565"/>
      <c r="E1268" s="557"/>
    </row>
    <row r="1269" spans="1:5" x14ac:dyDescent="0.25">
      <c r="A1269" s="559" t="s">
        <v>1111</v>
      </c>
      <c r="B1269" s="559"/>
      <c r="C1269" s="559"/>
      <c r="D1269" s="559"/>
      <c r="E1269" s="561">
        <f>(E1259-E1260-E1261)-((E1262+E1263)-(E1264+E1265))-(E1266+E1267+E1268)</f>
        <v>0</v>
      </c>
    </row>
    <row r="1270" spans="1:5" x14ac:dyDescent="0.25">
      <c r="A1270" s="556" t="s">
        <v>1010</v>
      </c>
      <c r="B1270" s="556" t="s">
        <v>1012</v>
      </c>
      <c r="C1270" s="556">
        <v>2500</v>
      </c>
      <c r="D1270" s="556">
        <v>6000</v>
      </c>
      <c r="E1270" s="557">
        <f>SUMIFS('Accounting data'!$G$2:$G$37003,'Accounting data'!$I$2:$I$37003,"7*",'Accounting data'!$J$2:$J$37003,"25*",'Accounting data'!$K$2:$K$37003,"6*")+SUMIFS('Accounting data'!$G$2:$G$37003,'Accounting data'!$I$2:$I$37003,"8*",'Accounting data'!$J$2:$J$37003,"25*",'Accounting data'!$K$2:$K$37003,"6*")+SUMIFS('Accounting data'!$G$2:$G$37003,'Accounting data'!$I$2:$I$37003,"9*",'Accounting data'!$J$2:$J$37003,"25*",'Accounting data'!$K$2:$K$37003,"6*")</f>
        <v>0</v>
      </c>
    </row>
    <row r="1271" spans="1:5" x14ac:dyDescent="0.25">
      <c r="A1271" s="556" t="s">
        <v>1010</v>
      </c>
      <c r="B1271" s="556" t="s">
        <v>1012</v>
      </c>
      <c r="C1271" s="556">
        <v>2500</v>
      </c>
      <c r="D1271" s="556">
        <v>6900</v>
      </c>
      <c r="E1271" s="557">
        <f>SUMIFS('Accounting data'!$G$2:$G$37003,'Accounting data'!$I$2:$I$37003,"7*",'Accounting data'!$J$2:$J$37003,"25*",'Accounting data'!$K$2:$K$37003,"69*")+SUMIFS('Accounting data'!$G$2:$G$37003,'Accounting data'!$I$2:$I$37003,"8*",'Accounting data'!$J$2:$J$37003,"25*",'Accounting data'!$K$2:$K$37003,"69*")+SUMIFS('Accounting data'!$G$2:$G$37003,'Accounting data'!$I$2:$I$37003,"9*",'Accounting data'!$J$2:$J$37003,"25*",'Accounting data'!$K$2:$K$37003,"69*")</f>
        <v>0</v>
      </c>
    </row>
    <row r="1272" spans="1:5" x14ac:dyDescent="0.25">
      <c r="A1272" s="556" t="s">
        <v>1010</v>
      </c>
      <c r="B1272" s="556" t="s">
        <v>1012</v>
      </c>
      <c r="C1272" s="556">
        <v>2500</v>
      </c>
      <c r="D1272" s="565">
        <v>6700</v>
      </c>
      <c r="E1272" s="557">
        <f>SUMIFS('Accounting data'!$G$2:$G$37003,'Accounting data'!$I$2:$I$37003,"7*",'Accounting data'!$J$2:$J$37003,"25*",'Accounting data'!$K$2:$K$37003,"67*")+SUMIFS('Accounting data'!$G$2:$G$37003,'Accounting data'!$I$2:$I$37003,"8*",'Accounting data'!$J$2:$J$37003,"25*",'Accounting data'!$K$2:$K$37003,"67*")+SUMIFS('Accounting data'!$G$2:$G$37003,'Accounting data'!$I$2:$I$37003,"9*",'Accounting data'!$J$2:$J$37003,"25*",'Accounting data'!$K$2:$K$37003,"67*")</f>
        <v>0</v>
      </c>
    </row>
    <row r="1273" spans="1:5" x14ac:dyDescent="0.25">
      <c r="A1273" s="558" t="s">
        <v>1011</v>
      </c>
      <c r="B1273" s="556" t="s">
        <v>1012</v>
      </c>
      <c r="C1273" s="556">
        <v>2500</v>
      </c>
      <c r="D1273" s="556">
        <v>6000</v>
      </c>
      <c r="E1273" s="557">
        <f>SUMIFS('Accounting data'!$G$2:$G$37003,'Accounting data'!$H$2:$H$37003,"9999*",'Accounting data'!$I$2:$I$37003,"7*",'Accounting data'!$J$2:$J$37003,"25*",'Accounting data'!$K$2:$K$37003,"6*")+SUMIFS('Accounting data'!$G$2:$G$37003,'Accounting data'!$H$2:$H$37003,"9999*",'Accounting data'!$I$2:$I$37003,"8*",'Accounting data'!$J$2:$J$37003,"25*",'Accounting data'!$K$2:$K$37003,"6*")+SUMIFS('Accounting data'!$G$2:$G$37003,'Accounting data'!$H$2:$H$37003,"9999*",'Accounting data'!$I$2:$I$37003,"9*",'Accounting data'!$J$2:$J$37003,"25*",'Accounting data'!$K$2:$K$37003,"6*")</f>
        <v>0</v>
      </c>
    </row>
    <row r="1274" spans="1:5" x14ac:dyDescent="0.25">
      <c r="A1274" s="556"/>
      <c r="B1274" s="556"/>
      <c r="C1274" s="556"/>
      <c r="D1274" s="556"/>
      <c r="E1274" s="557"/>
    </row>
    <row r="1275" spans="1:5" x14ac:dyDescent="0.25">
      <c r="A1275" s="558" t="s">
        <v>1011</v>
      </c>
      <c r="B1275" s="556" t="s">
        <v>1012</v>
      </c>
      <c r="C1275" s="556">
        <v>2500</v>
      </c>
      <c r="D1275" s="556">
        <v>6900</v>
      </c>
      <c r="E1275" s="557">
        <f>SUMIFS('Accounting data'!$G$2:$G$37003,'Accounting data'!$H$2:$H$37003,"9999*",'Accounting data'!$I$2:$I$37003,"7*",'Accounting data'!$J$2:$J$37003,"25*",'Accounting data'!$K$2:$K$37003,"69*")+SUMIFS('Accounting data'!$G$2:$G$37003,'Accounting data'!$H$2:$H$37003,"9999*",'Accounting data'!$I$2:$I$37003,"8*",'Accounting data'!$J$2:$J$37003,"25*",'Accounting data'!$K$2:$K$37003,"69*")+SUMIFS('Accounting data'!$G$2:$G$37003,'Accounting data'!$H$2:$H$37003,"9999*",'Accounting data'!$I$2:$I$37003,"9*",'Accounting data'!$J$2:$J$37003,"25*",'Accounting data'!$K$2:$K$37003,"69*")</f>
        <v>0</v>
      </c>
    </row>
    <row r="1276" spans="1:5" x14ac:dyDescent="0.25">
      <c r="A1276" s="556"/>
      <c r="B1276" s="556"/>
      <c r="C1276" s="556"/>
      <c r="D1276" s="556"/>
      <c r="E1276" s="557"/>
    </row>
    <row r="1277" spans="1:5" x14ac:dyDescent="0.25">
      <c r="A1277" s="558" t="s">
        <v>1011</v>
      </c>
      <c r="B1277" s="556" t="s">
        <v>1012</v>
      </c>
      <c r="C1277" s="556">
        <v>2500</v>
      </c>
      <c r="D1277" s="565">
        <v>6700</v>
      </c>
      <c r="E1277" s="557">
        <f>SUMIFS('Accounting data'!$G$2:$G$37003,'Accounting data'!$H$2:$H$37003,"9999*",'Accounting data'!$I$2:$I$37003,"7*",'Accounting data'!$J$2:$J$37003,"25*",'Accounting data'!$K$2:$K$37003,"67*")+SUMIFS('Accounting data'!$G$2:$G$37003,'Accounting data'!$H$2:$H$37003,"9999*",'Accounting data'!$I$2:$I$37003,"8*",'Accounting data'!$J$2:$J$37003,"25*",'Accounting data'!$K$2:$K$37003,"67*")+SUMIFS('Accounting data'!$G$2:$G$37003,'Accounting data'!$H$2:$H$37003,"9999*",'Accounting data'!$I$2:$I$37003,"9*",'Accounting data'!$J$2:$J$37003,"25*",'Accounting data'!$K$2:$K$37003,"67*")</f>
        <v>0</v>
      </c>
    </row>
    <row r="1278" spans="1:5" x14ac:dyDescent="0.25">
      <c r="A1278" s="558"/>
      <c r="B1278" s="556"/>
      <c r="C1278" s="556"/>
      <c r="D1278" s="565"/>
      <c r="E1278" s="557"/>
    </row>
    <row r="1279" spans="1:5" x14ac:dyDescent="0.25">
      <c r="A1279" s="558"/>
      <c r="B1279" s="556"/>
      <c r="C1279" s="556"/>
      <c r="D1279" s="565"/>
      <c r="E1279" s="557"/>
    </row>
    <row r="1280" spans="1:5" x14ac:dyDescent="0.25">
      <c r="A1280" s="559" t="s">
        <v>1112</v>
      </c>
      <c r="B1280" s="559"/>
      <c r="C1280" s="559"/>
      <c r="D1280" s="559"/>
      <c r="E1280" s="561">
        <f>(E1270-E1271-E1272)-((E1273+E1274)-(E1275+E1276))-(E1277+E1278+E1279)</f>
        <v>0</v>
      </c>
    </row>
    <row r="1281" spans="1:5" x14ac:dyDescent="0.25">
      <c r="A1281" s="556" t="s">
        <v>1010</v>
      </c>
      <c r="B1281" s="556" t="s">
        <v>1012</v>
      </c>
      <c r="C1281" s="556">
        <v>2900</v>
      </c>
      <c r="D1281" s="556">
        <v>6000</v>
      </c>
      <c r="E1281" s="557">
        <f>SUMIFS('Accounting data'!$G$2:$G$37003,'Accounting data'!$I$2:$I$37003,"7*",'Accounting data'!$J$2:$J$37003,"29*",'Accounting data'!$K$2:$K$37003,"6*")+SUMIFS('Accounting data'!$G$2:$G$37003,'Accounting data'!$I$2:$I$37003,"8*",'Accounting data'!$J$2:$J$37003,"29*",'Accounting data'!$K$2:$K$37003,"6*")+SUMIFS('Accounting data'!$G$2:$G$37003,'Accounting data'!$I$2:$I$37003,"9*",'Accounting data'!$J$2:$J$37003,"29*",'Accounting data'!$K$2:$K$37003,"6*")</f>
        <v>0</v>
      </c>
    </row>
    <row r="1282" spans="1:5" x14ac:dyDescent="0.25">
      <c r="A1282" s="556" t="s">
        <v>1010</v>
      </c>
      <c r="B1282" s="556" t="s">
        <v>1012</v>
      </c>
      <c r="C1282" s="556">
        <v>2900</v>
      </c>
      <c r="D1282" s="556">
        <v>6900</v>
      </c>
      <c r="E1282" s="557">
        <f>SUMIFS('Accounting data'!$G$2:$G$37003,'Accounting data'!$I$2:$I$37003,"7*",'Accounting data'!$J$2:$J$37003,"29*",'Accounting data'!$K$2:$K$37003,"69*")+SUMIFS('Accounting data'!$G$2:$G$37003,'Accounting data'!$I$2:$I$37003,"8*",'Accounting data'!$J$2:$J$37003,"29*",'Accounting data'!$K$2:$K$37003,"69*")+SUMIFS('Accounting data'!$G$2:$G$37003,'Accounting data'!$I$2:$I$37003,"9*",'Accounting data'!$J$2:$J$37003,"29*",'Accounting data'!$K$2:$K$37003,"69*")</f>
        <v>0</v>
      </c>
    </row>
    <row r="1283" spans="1:5" x14ac:dyDescent="0.25">
      <c r="A1283" s="556" t="s">
        <v>1010</v>
      </c>
      <c r="B1283" s="556" t="s">
        <v>1012</v>
      </c>
      <c r="C1283" s="556">
        <v>2900</v>
      </c>
      <c r="D1283" s="565">
        <v>6700</v>
      </c>
      <c r="E1283" s="557">
        <f>SUMIFS('Accounting data'!$G$2:$G$37003,'Accounting data'!$I$2:$I$37003,"7*",'Accounting data'!$J$2:$J$37003,"29*",'Accounting data'!$K$2:$K$37003,"67*")+SUMIFS('Accounting data'!$G$2:$G$37003,'Accounting data'!$I$2:$I$37003,"8*",'Accounting data'!$J$2:$J$37003,"29*",'Accounting data'!$K$2:$K$37003,"67*")+SUMIFS('Accounting data'!$G$2:$G$37003,'Accounting data'!$I$2:$I$37003,"9*",'Accounting data'!$J$2:$J$37003,"29*",'Accounting data'!$K$2:$K$37003,"67*")</f>
        <v>0</v>
      </c>
    </row>
    <row r="1284" spans="1:5" x14ac:dyDescent="0.25">
      <c r="A1284" s="558" t="s">
        <v>1011</v>
      </c>
      <c r="B1284" s="556" t="s">
        <v>1012</v>
      </c>
      <c r="C1284" s="556">
        <v>2900</v>
      </c>
      <c r="D1284" s="556">
        <v>6000</v>
      </c>
      <c r="E1284" s="557">
        <f>SUMIFS('Accounting data'!$G$2:$G$37003,'Accounting data'!$H$2:$H$37003,"9999*",'Accounting data'!$I$2:$I$37003,"7*",'Accounting data'!$J$2:$J$37003,"29*",'Accounting data'!$K$2:$K$37003,"6*")+SUMIFS('Accounting data'!$G$2:$G$37003,'Accounting data'!$H$2:$H$37003,"9999*",'Accounting data'!$I$2:$I$37003,"8*",'Accounting data'!$J$2:$J$37003,"29*",'Accounting data'!$K$2:$K$37003,"6*")+SUMIFS('Accounting data'!$G$2:$G$37003,'Accounting data'!$H$2:$H$37003,"9999*",'Accounting data'!$I$2:$I$37003,"9*",'Accounting data'!$J$2:$J$37003,"29*",'Accounting data'!$K$2:$K$37003,"6*")</f>
        <v>0</v>
      </c>
    </row>
    <row r="1285" spans="1:5" x14ac:dyDescent="0.25">
      <c r="A1285" s="556"/>
      <c r="B1285" s="556"/>
      <c r="C1285" s="556"/>
      <c r="D1285" s="556"/>
      <c r="E1285" s="557"/>
    </row>
    <row r="1286" spans="1:5" x14ac:dyDescent="0.25">
      <c r="A1286" s="558" t="s">
        <v>1011</v>
      </c>
      <c r="B1286" s="556" t="s">
        <v>1012</v>
      </c>
      <c r="C1286" s="556">
        <v>2900</v>
      </c>
      <c r="D1286" s="556">
        <v>6900</v>
      </c>
      <c r="E1286" s="557">
        <f>SUMIFS('Accounting data'!$G$2:$G$37003,'Accounting data'!$H$2:$H$37003,"9999*",'Accounting data'!$I$2:$I$37003,"7*",'Accounting data'!$J$2:$J$37003,"29*",'Accounting data'!$K$2:$K$37003,"69*")+SUMIFS('Accounting data'!$G$2:$G$37003,'Accounting data'!$H$2:$H$37003,"9999*",'Accounting data'!$I$2:$I$37003,"8*",'Accounting data'!$J$2:$J$37003,"29*",'Accounting data'!$K$2:$K$37003,"69*")+SUMIFS('Accounting data'!$G$2:$G$37003,'Accounting data'!$H$2:$H$37003,"9999*",'Accounting data'!$I$2:$I$37003,"9*",'Accounting data'!$J$2:$J$37003,"29*",'Accounting data'!$K$2:$K$37003,"69*")</f>
        <v>0</v>
      </c>
    </row>
    <row r="1287" spans="1:5" x14ac:dyDescent="0.25">
      <c r="A1287" s="556"/>
      <c r="B1287" s="556"/>
      <c r="C1287" s="556"/>
      <c r="D1287" s="556"/>
      <c r="E1287" s="557"/>
    </row>
    <row r="1288" spans="1:5" x14ac:dyDescent="0.25">
      <c r="A1288" s="558" t="s">
        <v>1011</v>
      </c>
      <c r="B1288" s="556" t="s">
        <v>1012</v>
      </c>
      <c r="C1288" s="556">
        <v>2900</v>
      </c>
      <c r="D1288" s="565">
        <v>6700</v>
      </c>
      <c r="E1288" s="557">
        <f>SUMIFS('Accounting data'!$G$2:$G$37003,'Accounting data'!$H$2:$H$37003,"9999*",'Accounting data'!$I$2:$I$37003,"7*",'Accounting data'!$J$2:$J$37003,"29*",'Accounting data'!$K$2:$K$37003,"67*")+SUMIFS('Accounting data'!$G$2:$G$37003,'Accounting data'!$H$2:$H$37003,"9999*",'Accounting data'!$I$2:$I$37003,"8*",'Accounting data'!$J$2:$J$37003,"29*",'Accounting data'!$K$2:$K$37003,"67*")+SUMIFS('Accounting data'!$G$2:$G$37003,'Accounting data'!$H$2:$H$37003,"9999*",'Accounting data'!$I$2:$I$37003,"9*",'Accounting data'!$J$2:$J$37003,"29*",'Accounting data'!$K$2:$K$37003,"67*")</f>
        <v>0</v>
      </c>
    </row>
    <row r="1289" spans="1:5" x14ac:dyDescent="0.25">
      <c r="A1289" s="558"/>
      <c r="B1289" s="556"/>
      <c r="C1289" s="556"/>
      <c r="D1289" s="565"/>
      <c r="E1289" s="557"/>
    </row>
    <row r="1290" spans="1:5" x14ac:dyDescent="0.25">
      <c r="A1290" s="558"/>
      <c r="B1290" s="556"/>
      <c r="C1290" s="556"/>
      <c r="D1290" s="565"/>
      <c r="E1290" s="557"/>
    </row>
    <row r="1291" spans="1:5" x14ac:dyDescent="0.25">
      <c r="A1291" s="559" t="s">
        <v>1113</v>
      </c>
      <c r="B1291" s="559"/>
      <c r="C1291" s="559"/>
      <c r="D1291" s="559"/>
      <c r="E1291" s="561">
        <f>(E1281-E1282-E1283)-((E1284+E1285)-(E1286+E1287))-(E1288+E1289+E1290)</f>
        <v>0</v>
      </c>
    </row>
    <row r="1292" spans="1:5" x14ac:dyDescent="0.25">
      <c r="A1292" s="556" t="s">
        <v>1010</v>
      </c>
      <c r="B1292" s="556" t="s">
        <v>1012</v>
      </c>
      <c r="C1292" s="556">
        <v>2600</v>
      </c>
      <c r="D1292" s="556">
        <v>6000</v>
      </c>
      <c r="E1292" s="557">
        <f>SUMIFS('Accounting data'!$G$2:$G$37003,'Accounting data'!$I$2:$I$37003,"7*",'Accounting data'!$J$2:$J$37003,"26*",'Accounting data'!$K$2:$K$37003,"6*")+SUMIFS('Accounting data'!$G$2:$G$37003,'Accounting data'!$I$2:$I$37003,"8*",'Accounting data'!$J$2:$J$37003,"26*",'Accounting data'!$K$2:$K$37003,"6*")+SUMIFS('Accounting data'!$G$2:$G$37003,'Accounting data'!$I$2:$I$37003,"9*",'Accounting data'!$J$2:$J$37003,"26*",'Accounting data'!$K$2:$K$37003,"6*")</f>
        <v>0</v>
      </c>
    </row>
    <row r="1293" spans="1:5" x14ac:dyDescent="0.25">
      <c r="A1293" s="556" t="s">
        <v>1010</v>
      </c>
      <c r="B1293" s="556" t="s">
        <v>1012</v>
      </c>
      <c r="C1293" s="556">
        <v>2600</v>
      </c>
      <c r="D1293" s="556">
        <v>6900</v>
      </c>
      <c r="E1293" s="557">
        <f>SUMIFS('Accounting data'!$G$2:$G$37003,'Accounting data'!$I$2:$I$37003,"7*",'Accounting data'!$J$2:$J$37003,"26*",'Accounting data'!$K$2:$K$37003,"69*")+SUMIFS('Accounting data'!$G$2:$G$37003,'Accounting data'!$I$2:$I$37003,"8*",'Accounting data'!$J$2:$J$37003,"26*",'Accounting data'!$K$2:$K$37003,"69*")+SUMIFS('Accounting data'!$G$2:$G$37003,'Accounting data'!$I$2:$I$37003,"9*",'Accounting data'!$J$2:$J$37003,"26*",'Accounting data'!$K$2:$K$37003,"69*")</f>
        <v>0</v>
      </c>
    </row>
    <row r="1294" spans="1:5" x14ac:dyDescent="0.25">
      <c r="A1294" s="556" t="s">
        <v>1010</v>
      </c>
      <c r="B1294" s="556" t="s">
        <v>1012</v>
      </c>
      <c r="C1294" s="556">
        <v>2600</v>
      </c>
      <c r="D1294" s="565">
        <v>6700</v>
      </c>
      <c r="E1294" s="557">
        <f>SUMIFS('Accounting data'!$G$2:$G$37003,'Accounting data'!$I$2:$I$37003,"7*",'Accounting data'!$J$2:$J$37003,"26*",'Accounting data'!$K$2:$K$37003,"67*")+SUMIFS('Accounting data'!$G$2:$G$37003,'Accounting data'!$I$2:$I$37003,"8*",'Accounting data'!$J$2:$J$37003,"26*",'Accounting data'!$K$2:$K$37003,"67*")+SUMIFS('Accounting data'!$G$2:$G$37003,'Accounting data'!$I$2:$I$37003,"9*",'Accounting data'!$J$2:$J$37003,"26*",'Accounting data'!$K$2:$K$37003,"67*")</f>
        <v>0</v>
      </c>
    </row>
    <row r="1295" spans="1:5" x14ac:dyDescent="0.25">
      <c r="A1295" s="558" t="s">
        <v>1011</v>
      </c>
      <c r="B1295" s="556" t="s">
        <v>1012</v>
      </c>
      <c r="C1295" s="556">
        <v>2600</v>
      </c>
      <c r="D1295" s="556">
        <v>6000</v>
      </c>
      <c r="E1295" s="557">
        <f>SUMIFS('Accounting data'!$G$2:$G$37003,'Accounting data'!$H$2:$H$37003,"9999*",'Accounting data'!$I$2:$I$37003,"7*",'Accounting data'!$J$2:$J$37003,"26*",'Accounting data'!$K$2:$K$37003,"6*")+SUMIFS('Accounting data'!$G$2:$G$37003,'Accounting data'!$H$2:$H$37003,"9999*",'Accounting data'!$I$2:$I$37003,"8*",'Accounting data'!$J$2:$J$37003,"26*",'Accounting data'!$K$2:$K$37003,"6*")+SUMIFS('Accounting data'!$G$2:$G$37003,'Accounting data'!$H$2:$H$37003,"9999*",'Accounting data'!$I$2:$I$37003,"9*",'Accounting data'!$J$2:$J$37003,"26*",'Accounting data'!$K$2:$K$37003,"6*")</f>
        <v>0</v>
      </c>
    </row>
    <row r="1296" spans="1:5" x14ac:dyDescent="0.25">
      <c r="A1296" s="556"/>
      <c r="B1296" s="556"/>
      <c r="C1296" s="556"/>
      <c r="D1296" s="556"/>
      <c r="E1296" s="557"/>
    </row>
    <row r="1297" spans="1:5" x14ac:dyDescent="0.25">
      <c r="A1297" s="558" t="s">
        <v>1011</v>
      </c>
      <c r="B1297" s="556" t="s">
        <v>1012</v>
      </c>
      <c r="C1297" s="556">
        <v>2600</v>
      </c>
      <c r="D1297" s="556">
        <v>6900</v>
      </c>
      <c r="E1297" s="557">
        <f>SUMIFS('Accounting data'!$G$2:$G$37003,'Accounting data'!$H$2:$H$37003,"9999*",'Accounting data'!$I$2:$I$37003,"7*",'Accounting data'!$J$2:$J$37003,"26*",'Accounting data'!$K$2:$K$37003,"69*")+SUMIFS('Accounting data'!$G$2:$G$37003,'Accounting data'!$H$2:$H$37003,"9999*",'Accounting data'!$I$2:$I$37003,"8*",'Accounting data'!$J$2:$J$37003,"26*",'Accounting data'!$K$2:$K$37003,"69*")+SUMIFS('Accounting data'!$G$2:$G$37003,'Accounting data'!$H$2:$H$37003,"9999*",'Accounting data'!$I$2:$I$37003,"9*",'Accounting data'!$J$2:$J$37003,"26*",'Accounting data'!$K$2:$K$37003,"69*")</f>
        <v>0</v>
      </c>
    </row>
    <row r="1298" spans="1:5" x14ac:dyDescent="0.25">
      <c r="A1298" s="556"/>
      <c r="B1298" s="556"/>
      <c r="C1298" s="556"/>
      <c r="D1298" s="556"/>
      <c r="E1298" s="557"/>
    </row>
    <row r="1299" spans="1:5" x14ac:dyDescent="0.25">
      <c r="A1299" s="558" t="s">
        <v>1011</v>
      </c>
      <c r="B1299" s="556" t="s">
        <v>1012</v>
      </c>
      <c r="C1299" s="556">
        <v>2600</v>
      </c>
      <c r="D1299" s="565">
        <v>6700</v>
      </c>
      <c r="E1299" s="557">
        <f>SUMIFS('Accounting data'!$G$2:$G$37003,'Accounting data'!$H$2:$H$37003,"9999*",'Accounting data'!$I$2:$I$37003,"7*",'Accounting data'!$J$2:$J$37003,"26*",'Accounting data'!$K$2:$K$37003,"67*")+SUMIFS('Accounting data'!$G$2:$G$37003,'Accounting data'!$H$2:$H$37003,"9999*",'Accounting data'!$I$2:$I$37003,"8*",'Accounting data'!$J$2:$J$37003,"26*",'Accounting data'!$K$2:$K$37003,"67*")+SUMIFS('Accounting data'!$G$2:$G$37003,'Accounting data'!$H$2:$H$37003,"9999*",'Accounting data'!$I$2:$I$37003,"9*",'Accounting data'!$J$2:$J$37003,"26*",'Accounting data'!$K$2:$K$37003,"67*")</f>
        <v>0</v>
      </c>
    </row>
    <row r="1300" spans="1:5" x14ac:dyDescent="0.25">
      <c r="A1300" s="558"/>
      <c r="B1300" s="556"/>
      <c r="C1300" s="556"/>
      <c r="D1300" s="565"/>
      <c r="E1300" s="557"/>
    </row>
    <row r="1301" spans="1:5" x14ac:dyDescent="0.25">
      <c r="A1301" s="558"/>
      <c r="B1301" s="556"/>
      <c r="C1301" s="556"/>
      <c r="D1301" s="565"/>
      <c r="E1301" s="557"/>
    </row>
    <row r="1302" spans="1:5" x14ac:dyDescent="0.25">
      <c r="A1302" s="559" t="s">
        <v>1114</v>
      </c>
      <c r="B1302" s="559"/>
      <c r="C1302" s="559"/>
      <c r="D1302" s="559"/>
      <c r="E1302" s="561">
        <f>(E1292-E1293-E1294)-((E1295+E1296)-(E1297+E1298))-(E1299+E1300+E1301)</f>
        <v>0</v>
      </c>
    </row>
    <row r="1303" spans="1:5" x14ac:dyDescent="0.25">
      <c r="A1303" s="556" t="s">
        <v>1010</v>
      </c>
      <c r="B1303" s="556" t="s">
        <v>1012</v>
      </c>
      <c r="C1303" s="556">
        <v>3100</v>
      </c>
      <c r="D1303" s="556">
        <v>6000</v>
      </c>
      <c r="E1303" s="557">
        <f>SUMIFS('Accounting data'!$G$2:$G$37003,'Accounting data'!$I$2:$I$37003,"7*",'Accounting data'!$J$2:$J$37003,"31*",'Accounting data'!$K$2:$K$37003,"6*")+SUMIFS('Accounting data'!$G$2:$G$37003,'Accounting data'!$I$2:$I$37003,"8*",'Accounting data'!$J$2:$J$37003,"31*",'Accounting data'!$K$2:$K$37003,"6*")+SUMIFS('Accounting data'!$G$2:$G$37003,'Accounting data'!$I$2:$I$37003,"9*",'Accounting data'!$J$2:$J$37003,"31*",'Accounting data'!$K$2:$K$37003,"6*")</f>
        <v>0</v>
      </c>
    </row>
    <row r="1304" spans="1:5" x14ac:dyDescent="0.25">
      <c r="A1304" s="556" t="s">
        <v>1010</v>
      </c>
      <c r="B1304" s="556" t="s">
        <v>1012</v>
      </c>
      <c r="C1304" s="556">
        <v>3100</v>
      </c>
      <c r="D1304" s="556">
        <v>6900</v>
      </c>
      <c r="E1304" s="557">
        <f>SUMIFS('Accounting data'!$G$2:$G$37003,'Accounting data'!$I$2:$I$37003,"7*",'Accounting data'!$J$2:$J$37003,"31*",'Accounting data'!$K$2:$K$37003,"69*")+SUMIFS('Accounting data'!$G$2:$G$37003,'Accounting data'!$I$2:$I$37003,"8*",'Accounting data'!$J$2:$J$37003,"31*",'Accounting data'!$K$2:$K$37003,"69*")+SUMIFS('Accounting data'!$G$2:$G$37003,'Accounting data'!$I$2:$I$37003,"9*",'Accounting data'!$J$2:$J$37003,"31*",'Accounting data'!$K$2:$K$37003,"69*")</f>
        <v>0</v>
      </c>
    </row>
    <row r="1305" spans="1:5" x14ac:dyDescent="0.25">
      <c r="A1305" s="556" t="s">
        <v>1010</v>
      </c>
      <c r="B1305" s="556" t="s">
        <v>1012</v>
      </c>
      <c r="C1305" s="556">
        <v>3100</v>
      </c>
      <c r="D1305" s="565">
        <v>6700</v>
      </c>
      <c r="E1305" s="557">
        <f>SUMIFS('Accounting data'!$G$2:$G$37003,'Accounting data'!$I$2:$I$37003,"7*",'Accounting data'!$J$2:$J$37003,"31*",'Accounting data'!$K$2:$K$37003,"67*")+SUMIFS('Accounting data'!$G$2:$G$37003,'Accounting data'!$I$2:$I$37003,"8*",'Accounting data'!$J$2:$J$37003,"31*",'Accounting data'!$K$2:$K$37003,"67*")+SUMIFS('Accounting data'!$G$2:$G$37003,'Accounting data'!$I$2:$I$37003,"9*",'Accounting data'!$J$2:$J$37003,"31*",'Accounting data'!$K$2:$K$37003,"67*")</f>
        <v>0</v>
      </c>
    </row>
    <row r="1306" spans="1:5" x14ac:dyDescent="0.25">
      <c r="A1306" s="558" t="s">
        <v>1011</v>
      </c>
      <c r="B1306" s="556" t="s">
        <v>1012</v>
      </c>
      <c r="C1306" s="556">
        <v>3100</v>
      </c>
      <c r="D1306" s="556">
        <v>6000</v>
      </c>
      <c r="E1306" s="557">
        <f>SUMIFS('Accounting data'!$G$2:$G$37003,'Accounting data'!$H$2:$H$37003,"9999*",'Accounting data'!$I$2:$I$37003,"7*",'Accounting data'!$J$2:$J$37003,"31*",'Accounting data'!$K$2:$K$37003,"6*")+SUMIFS('Accounting data'!$G$2:$G$37003,'Accounting data'!$H$2:$H$37003,"9999*",'Accounting data'!$I$2:$I$37003,"8*",'Accounting data'!$J$2:$J$37003,"31*",'Accounting data'!$K$2:$K$37003,"6*")+SUMIFS('Accounting data'!$G$2:$G$37003,'Accounting data'!$H$2:$H$37003,"9999*",'Accounting data'!$I$2:$I$37003,"9*",'Accounting data'!$J$2:$J$37003,"31*",'Accounting data'!$K$2:$K$37003,"6*")</f>
        <v>0</v>
      </c>
    </row>
    <row r="1307" spans="1:5" x14ac:dyDescent="0.25">
      <c r="A1307" s="556"/>
      <c r="B1307" s="556"/>
      <c r="C1307" s="556"/>
      <c r="D1307" s="556"/>
      <c r="E1307" s="557"/>
    </row>
    <row r="1308" spans="1:5" x14ac:dyDescent="0.25">
      <c r="A1308" s="558" t="s">
        <v>1011</v>
      </c>
      <c r="B1308" s="556" t="s">
        <v>1012</v>
      </c>
      <c r="C1308" s="556">
        <v>3100</v>
      </c>
      <c r="D1308" s="556">
        <v>6900</v>
      </c>
      <c r="E1308" s="557">
        <f>SUMIFS('Accounting data'!$G$2:$G$37003,'Accounting data'!$H$2:$H$37003,"9999*",'Accounting data'!$I$2:$I$37003,"7*",'Accounting data'!$J$2:$J$37003,"31*",'Accounting data'!$K$2:$K$37003,"69*")+SUMIFS('Accounting data'!$G$2:$G$37003,'Accounting data'!$H$2:$H$37003,"9999*",'Accounting data'!$I$2:$I$37003,"8*",'Accounting data'!$J$2:$J$37003,"31*",'Accounting data'!$K$2:$K$37003,"69*")+SUMIFS('Accounting data'!$G$2:$G$37003,'Accounting data'!$H$2:$H$37003,"9999*",'Accounting data'!$I$2:$I$37003,"9*",'Accounting data'!$J$2:$J$37003,"31*",'Accounting data'!$K$2:$K$37003,"69*")</f>
        <v>0</v>
      </c>
    </row>
    <row r="1309" spans="1:5" x14ac:dyDescent="0.25">
      <c r="A1309" s="556"/>
      <c r="B1309" s="556"/>
      <c r="C1309" s="556"/>
      <c r="D1309" s="556"/>
      <c r="E1309" s="557"/>
    </row>
    <row r="1310" spans="1:5" x14ac:dyDescent="0.25">
      <c r="A1310" s="558" t="s">
        <v>1011</v>
      </c>
      <c r="B1310" s="556" t="s">
        <v>1012</v>
      </c>
      <c r="C1310" s="556">
        <v>3100</v>
      </c>
      <c r="D1310" s="565">
        <v>6700</v>
      </c>
      <c r="E1310" s="557">
        <f>SUMIFS('Accounting data'!$G$2:$G$37003,'Accounting data'!$H$2:$H$37003,"9999*",'Accounting data'!$I$2:$I$37003,"7*",'Accounting data'!$J$2:$J$37003,"31*",'Accounting data'!$K$2:$K$37003,"67*")+SUMIFS('Accounting data'!$G$2:$G$37003,'Accounting data'!$H$2:$H$37003,"9999*",'Accounting data'!$I$2:$I$37003,"8*",'Accounting data'!$J$2:$J$37003,"31*",'Accounting data'!$K$2:$K$37003,"67*")+SUMIFS('Accounting data'!$G$2:$G$37003,'Accounting data'!$H$2:$H$37003,"9999*",'Accounting data'!$I$2:$I$37003,"9*",'Accounting data'!$J$2:$J$37003,"31*",'Accounting data'!$K$2:$K$37003,"67*")</f>
        <v>0</v>
      </c>
    </row>
    <row r="1311" spans="1:5" x14ac:dyDescent="0.25">
      <c r="A1311" s="558"/>
      <c r="B1311" s="556"/>
      <c r="C1311" s="556"/>
      <c r="D1311" s="565"/>
      <c r="E1311" s="557"/>
    </row>
    <row r="1312" spans="1:5" x14ac:dyDescent="0.25">
      <c r="A1312" s="558"/>
      <c r="B1312" s="556"/>
      <c r="C1312" s="556"/>
      <c r="D1312" s="565"/>
      <c r="E1312" s="557"/>
    </row>
    <row r="1313" spans="1:5" x14ac:dyDescent="0.25">
      <c r="A1313" s="559" t="s">
        <v>1115</v>
      </c>
      <c r="B1313" s="559"/>
      <c r="C1313" s="559"/>
      <c r="D1313" s="559"/>
      <c r="E1313" s="561">
        <f>(E1303-E1304-E1305)-((E1306+E1307)-(E1308+E1309))-(E1310+E1311+E1312)</f>
        <v>0</v>
      </c>
    </row>
    <row r="1314" spans="1:5" x14ac:dyDescent="0.25">
      <c r="A1314" s="556"/>
      <c r="B1314" s="556"/>
      <c r="C1314" s="556"/>
      <c r="D1314" s="556"/>
      <c r="E1314" s="557"/>
    </row>
    <row r="1315" spans="1:5" x14ac:dyDescent="0.25">
      <c r="A1315" s="556"/>
      <c r="B1315" s="556"/>
      <c r="C1315" s="556"/>
      <c r="D1315" s="556"/>
      <c r="E1315" s="557"/>
    </row>
    <row r="1316" spans="1:5" x14ac:dyDescent="0.25">
      <c r="A1316" s="556"/>
      <c r="B1316" s="556"/>
      <c r="C1316" s="556"/>
      <c r="D1316" s="565"/>
      <c r="E1316" s="557"/>
    </row>
    <row r="1317" spans="1:5" x14ac:dyDescent="0.25">
      <c r="A1317" s="558"/>
      <c r="B1317" s="556"/>
      <c r="C1317" s="556"/>
      <c r="D1317" s="556"/>
      <c r="E1317" s="557"/>
    </row>
    <row r="1318" spans="1:5" x14ac:dyDescent="0.25">
      <c r="A1318" s="556"/>
      <c r="B1318" s="556"/>
      <c r="C1318" s="556"/>
      <c r="D1318" s="556"/>
      <c r="E1318" s="557"/>
    </row>
    <row r="1319" spans="1:5" x14ac:dyDescent="0.25">
      <c r="A1319" s="558"/>
      <c r="B1319" s="556"/>
      <c r="C1319" s="556"/>
      <c r="D1319" s="556"/>
      <c r="E1319" s="557"/>
    </row>
    <row r="1320" spans="1:5" x14ac:dyDescent="0.25">
      <c r="A1320" s="556"/>
      <c r="B1320" s="556"/>
      <c r="C1320" s="556"/>
      <c r="D1320" s="556"/>
      <c r="E1320" s="557"/>
    </row>
    <row r="1321" spans="1:5" x14ac:dyDescent="0.25">
      <c r="A1321" s="558"/>
      <c r="B1321" s="556"/>
      <c r="C1321" s="556"/>
      <c r="D1321" s="565"/>
      <c r="E1321" s="557"/>
    </row>
    <row r="1322" spans="1:5" x14ac:dyDescent="0.25">
      <c r="A1322" s="558"/>
      <c r="B1322" s="556"/>
      <c r="C1322" s="556"/>
      <c r="D1322" s="565"/>
      <c r="E1322" s="557"/>
    </row>
    <row r="1323" spans="1:5" x14ac:dyDescent="0.25">
      <c r="A1323" s="558"/>
      <c r="B1323" s="556"/>
      <c r="C1323" s="556"/>
      <c r="D1323" s="565"/>
      <c r="E1323" s="557"/>
    </row>
    <row r="1324" spans="1:5" x14ac:dyDescent="0.25">
      <c r="A1324" s="559"/>
      <c r="B1324" s="559"/>
      <c r="C1324" s="559"/>
      <c r="D1324" s="559"/>
      <c r="E1324" s="561"/>
    </row>
    <row r="1325" spans="1:5" x14ac:dyDescent="0.25">
      <c r="A1325" s="556" t="s">
        <v>1010</v>
      </c>
      <c r="B1325" s="556" t="s">
        <v>1012</v>
      </c>
      <c r="C1325" s="556">
        <v>3300</v>
      </c>
      <c r="D1325" s="556">
        <v>6000</v>
      </c>
      <c r="E1325" s="557">
        <f>SUMIFS('Accounting data'!$G$2:$G$37003,'Accounting data'!$I$2:$I$37003,"7*",'Accounting data'!$J$2:$J$37003,"33*",'Accounting data'!$K$2:$K$37003,"6*")+SUMIFS('Accounting data'!$G$2:$G$37003,'Accounting data'!$I$2:$I$37003,"8*",'Accounting data'!$J$2:$J$37003,"33*",'Accounting data'!$K$2:$K$37003,"6*")+SUMIFS('Accounting data'!$G$2:$G$37003,'Accounting data'!$I$2:$I$37003,"9*",'Accounting data'!$J$2:$J$37003,"33*",'Accounting data'!$K$2:$K$37003,"6*")</f>
        <v>0</v>
      </c>
    </row>
    <row r="1326" spans="1:5" x14ac:dyDescent="0.25">
      <c r="A1326" s="556" t="s">
        <v>1010</v>
      </c>
      <c r="B1326" s="556" t="s">
        <v>1012</v>
      </c>
      <c r="C1326" s="556">
        <v>3300</v>
      </c>
      <c r="D1326" s="556">
        <v>6900</v>
      </c>
      <c r="E1326" s="557">
        <f>SUMIFS('Accounting data'!$G$2:$G$37003,'Accounting data'!$I$2:$I$37003,"7*",'Accounting data'!$J$2:$J$37003,"33*",'Accounting data'!$K$2:$K$37003,"69*")+SUMIFS('Accounting data'!$G$2:$G$37003,'Accounting data'!$I$2:$I$37003,"8*",'Accounting data'!$J$2:$J$37003,"33*",'Accounting data'!$K$2:$K$37003,"69*")+SUMIFS('Accounting data'!$G$2:$G$37003,'Accounting data'!$I$2:$I$37003,"9*",'Accounting data'!$J$2:$J$37003,"33*",'Accounting data'!$K$2:$K$37003,"69*")</f>
        <v>0</v>
      </c>
    </row>
    <row r="1327" spans="1:5" x14ac:dyDescent="0.25">
      <c r="A1327" s="556" t="s">
        <v>1010</v>
      </c>
      <c r="B1327" s="556" t="s">
        <v>1012</v>
      </c>
      <c r="C1327" s="556">
        <v>3300</v>
      </c>
      <c r="D1327" s="565">
        <v>6700</v>
      </c>
      <c r="E1327" s="557">
        <f>SUMIFS('Accounting data'!$G$2:$G$37003,'Accounting data'!$I$2:$I$37003,"7*",'Accounting data'!$J$2:$J$37003,"33*",'Accounting data'!$K$2:$K$37003,"67*")+SUMIFS('Accounting data'!$G$2:$G$37003,'Accounting data'!$I$2:$I$37003,"8*",'Accounting data'!$J$2:$J$37003,"33*",'Accounting data'!$K$2:$K$37003,"67*")+SUMIFS('Accounting data'!$G$2:$G$37003,'Accounting data'!$I$2:$I$37003,"9*",'Accounting data'!$J$2:$J$37003,"33*",'Accounting data'!$K$2:$K$37003,"67*")</f>
        <v>0</v>
      </c>
    </row>
    <row r="1328" spans="1:5" x14ac:dyDescent="0.25">
      <c r="A1328" s="558" t="s">
        <v>1011</v>
      </c>
      <c r="B1328" s="556" t="s">
        <v>1012</v>
      </c>
      <c r="C1328" s="556">
        <v>3300</v>
      </c>
      <c r="D1328" s="556">
        <v>6000</v>
      </c>
      <c r="E1328" s="557">
        <f>SUMIFS('Accounting data'!$G$2:$G$37003,'Accounting data'!$H$2:$H$37003,"9999*",'Accounting data'!$I$2:$I$37003,"7*",'Accounting data'!$J$2:$J$37003,"33*",'Accounting data'!$K$2:$K$37003,"6*")+SUMIFS('Accounting data'!$G$2:$G$37003,'Accounting data'!$H$2:$H$37003,"9999*",'Accounting data'!$I$2:$I$37003,"8*",'Accounting data'!$J$2:$J$37003,"33*",'Accounting data'!$K$2:$K$37003,"6*")+SUMIFS('Accounting data'!$G$2:$G$37003,'Accounting data'!$H$2:$H$37003,"9999*",'Accounting data'!$I$2:$I$37003,"9*",'Accounting data'!$J$2:$J$37003,"33*",'Accounting data'!$K$2:$K$37003,"6*")</f>
        <v>0</v>
      </c>
    </row>
    <row r="1329" spans="1:5" x14ac:dyDescent="0.25">
      <c r="A1329" s="556"/>
      <c r="B1329" s="556"/>
      <c r="C1329" s="556"/>
      <c r="D1329" s="556"/>
      <c r="E1329" s="557"/>
    </row>
    <row r="1330" spans="1:5" x14ac:dyDescent="0.25">
      <c r="A1330" s="558" t="s">
        <v>1011</v>
      </c>
      <c r="B1330" s="556" t="s">
        <v>1012</v>
      </c>
      <c r="C1330" s="556">
        <v>3300</v>
      </c>
      <c r="D1330" s="556">
        <v>6900</v>
      </c>
      <c r="E1330" s="557">
        <f>SUMIFS('Accounting data'!$G$2:$G$37003,'Accounting data'!$H$2:$H$37003,"9999*",'Accounting data'!$I$2:$I$37003,"7*",'Accounting data'!$J$2:$J$37003,"33*",'Accounting data'!$K$2:$K$37003,"69*")+SUMIFS('Accounting data'!$G$2:$G$37003,'Accounting data'!$H$2:$H$37003,"9999*",'Accounting data'!$I$2:$I$37003,"8*",'Accounting data'!$J$2:$J$37003,"33*",'Accounting data'!$K$2:$K$37003,"69*")+SUMIFS('Accounting data'!$G$2:$G$37003,'Accounting data'!$H$2:$H$37003,"9999*",'Accounting data'!$I$2:$I$37003,"9*",'Accounting data'!$J$2:$J$37003,"33*",'Accounting data'!$K$2:$K$37003,"69*")</f>
        <v>0</v>
      </c>
    </row>
    <row r="1331" spans="1:5" x14ac:dyDescent="0.25">
      <c r="A1331" s="556"/>
      <c r="B1331" s="556"/>
      <c r="C1331" s="556"/>
      <c r="D1331" s="556"/>
      <c r="E1331" s="557"/>
    </row>
    <row r="1332" spans="1:5" x14ac:dyDescent="0.25">
      <c r="A1332" s="558" t="s">
        <v>1011</v>
      </c>
      <c r="B1332" s="556" t="s">
        <v>1012</v>
      </c>
      <c r="C1332" s="556">
        <v>3300</v>
      </c>
      <c r="D1332" s="565">
        <v>6700</v>
      </c>
      <c r="E1332" s="557">
        <f>SUMIFS('Accounting data'!$G$2:$G$37003,'Accounting data'!$H$2:$H$37003,"9999*",'Accounting data'!$I$2:$I$37003,"7*",'Accounting data'!$J$2:$J$37003,"33*",'Accounting data'!$K$2:$K$37003,"67*")+SUMIFS('Accounting data'!$G$2:$G$37003,'Accounting data'!$H$2:$H$37003,"9999*",'Accounting data'!$I$2:$I$37003,"8*",'Accounting data'!$J$2:$J$37003,"33*",'Accounting data'!$K$2:$K$37003,"67*")+SUMIFS('Accounting data'!$G$2:$G$37003,'Accounting data'!$H$2:$H$37003,"9999*",'Accounting data'!$I$2:$I$37003,"9*",'Accounting data'!$J$2:$J$37003,"33*",'Accounting data'!$K$2:$K$37003,"67*")</f>
        <v>0</v>
      </c>
    </row>
    <row r="1333" spans="1:5" x14ac:dyDescent="0.25">
      <c r="A1333" s="558"/>
      <c r="B1333" s="556"/>
      <c r="C1333" s="556"/>
      <c r="D1333" s="565"/>
      <c r="E1333" s="557"/>
    </row>
    <row r="1334" spans="1:5" x14ac:dyDescent="0.25">
      <c r="A1334" s="558"/>
      <c r="B1334" s="556"/>
      <c r="C1334" s="556"/>
      <c r="D1334" s="565"/>
      <c r="E1334" s="557"/>
    </row>
    <row r="1335" spans="1:5" x14ac:dyDescent="0.25">
      <c r="A1335" s="559" t="s">
        <v>1116</v>
      </c>
      <c r="B1335" s="559"/>
      <c r="C1335" s="559"/>
      <c r="D1335" s="559"/>
      <c r="E1335" s="561">
        <f>(E1325-E1326-E1327)-((E1328+E1329)-(E1330+E1331))-(E1332+E1333+E1334)</f>
        <v>0</v>
      </c>
    </row>
    <row r="1336" spans="1:5" x14ac:dyDescent="0.25">
      <c r="A1336" s="556" t="s">
        <v>1010</v>
      </c>
      <c r="B1336" s="556" t="s">
        <v>1012</v>
      </c>
      <c r="C1336" s="556">
        <v>3400</v>
      </c>
      <c r="D1336" s="556">
        <v>6000</v>
      </c>
      <c r="E1336" s="557">
        <f>SUMIFS('Accounting data'!$G$2:$G$37003,'Accounting data'!$I$2:$I$37003,"7*",'Accounting data'!$J$2:$J$37003,"34*",'Accounting data'!$K$2:$K$37003,"6*")+SUMIFS('Accounting data'!$G$2:$G$37003,'Accounting data'!$I$2:$I$37003,"8*",'Accounting data'!$J$2:$J$37003,"34*",'Accounting data'!$K$2:$K$37003,"6*")+SUMIFS('Accounting data'!$G$2:$G$37003,'Accounting data'!$I$2:$I$37003,"9*",'Accounting data'!$J$2:$J$37003,"34*",'Accounting data'!$K$2:$K$37003,"6*")</f>
        <v>0</v>
      </c>
    </row>
    <row r="1337" spans="1:5" x14ac:dyDescent="0.25">
      <c r="A1337" s="556" t="s">
        <v>1010</v>
      </c>
      <c r="B1337" s="556" t="s">
        <v>1012</v>
      </c>
      <c r="C1337" s="556">
        <v>3400</v>
      </c>
      <c r="D1337" s="556">
        <v>6900</v>
      </c>
      <c r="E1337" s="557">
        <f>SUMIFS('Accounting data'!$G$2:$G$37003,'Accounting data'!$I$2:$I$37003,"7*",'Accounting data'!$J$2:$J$37003,"34*",'Accounting data'!$K$2:$K$37003,"69*")+SUMIFS('Accounting data'!$G$2:$G$37003,'Accounting data'!$I$2:$I$37003,"8*",'Accounting data'!$J$2:$J$37003,"34*",'Accounting data'!$K$2:$K$37003,"69*")+SUMIFS('Accounting data'!$G$2:$G$37003,'Accounting data'!$I$2:$I$37003,"9*",'Accounting data'!$J$2:$J$37003,"34*",'Accounting data'!$K$2:$K$37003,"69*")</f>
        <v>0</v>
      </c>
    </row>
    <row r="1338" spans="1:5" x14ac:dyDescent="0.25">
      <c r="A1338" s="556" t="s">
        <v>1010</v>
      </c>
      <c r="B1338" s="556" t="s">
        <v>1012</v>
      </c>
      <c r="C1338" s="556">
        <v>3400</v>
      </c>
      <c r="D1338" s="565">
        <v>6700</v>
      </c>
      <c r="E1338" s="557">
        <f>SUMIFS('Accounting data'!$G$2:$G$37003,'Accounting data'!$I$2:$I$37003,"7*",'Accounting data'!$J$2:$J$37003,"34*",'Accounting data'!$K$2:$K$37003,"67*")+SUMIFS('Accounting data'!$G$2:$G$37003,'Accounting data'!$I$2:$I$37003,"8*",'Accounting data'!$J$2:$J$37003,"34*",'Accounting data'!$K$2:$K$37003,"67*")+SUMIFS('Accounting data'!$G$2:$G$37003,'Accounting data'!$I$2:$I$37003,"9*",'Accounting data'!$J$2:$J$37003,"34*",'Accounting data'!$K$2:$K$37003,"67*")</f>
        <v>0</v>
      </c>
    </row>
    <row r="1339" spans="1:5" x14ac:dyDescent="0.25">
      <c r="A1339" s="558" t="s">
        <v>1011</v>
      </c>
      <c r="B1339" s="556" t="s">
        <v>1012</v>
      </c>
      <c r="C1339" s="556">
        <v>3400</v>
      </c>
      <c r="D1339" s="556">
        <v>6000</v>
      </c>
      <c r="E1339" s="557">
        <f>SUMIFS('Accounting data'!$G$2:$G$37003,'Accounting data'!$H$2:$H$37003,"9999*",'Accounting data'!$I$2:$I$37003,"7*",'Accounting data'!$J$2:$J$37003,"34*",'Accounting data'!$K$2:$K$37003,"6*")+SUMIFS('Accounting data'!$G$2:$G$37003,'Accounting data'!$H$2:$H$37003,"9999*",'Accounting data'!$I$2:$I$37003,"8*",'Accounting data'!$J$2:$J$37003,"34*",'Accounting data'!$K$2:$K$37003,"6*")+SUMIFS('Accounting data'!$G$2:$G$37003,'Accounting data'!$H$2:$H$37003,"9999*",'Accounting data'!$I$2:$I$37003,"9*",'Accounting data'!$J$2:$J$37003,"34*",'Accounting data'!$K$2:$K$37003,"6*")</f>
        <v>0</v>
      </c>
    </row>
    <row r="1340" spans="1:5" x14ac:dyDescent="0.25">
      <c r="A1340" s="556"/>
      <c r="B1340" s="556"/>
      <c r="C1340" s="556"/>
      <c r="D1340" s="556"/>
      <c r="E1340" s="557"/>
    </row>
    <row r="1341" spans="1:5" x14ac:dyDescent="0.25">
      <c r="A1341" s="558" t="s">
        <v>1011</v>
      </c>
      <c r="B1341" s="556" t="s">
        <v>1012</v>
      </c>
      <c r="C1341" s="556">
        <v>3400</v>
      </c>
      <c r="D1341" s="556">
        <v>6900</v>
      </c>
      <c r="E1341" s="557">
        <f>SUMIFS('Accounting data'!$G$2:$G$37003,'Accounting data'!$H$2:$H$37003,"9999*",'Accounting data'!$I$2:$I$37003,"7*",'Accounting data'!$J$2:$J$37003,"34*",'Accounting data'!$K$2:$K$37003,"69*")+SUMIFS('Accounting data'!$G$2:$G$37003,'Accounting data'!$H$2:$H$37003,"9999*",'Accounting data'!$I$2:$I$37003,"8*",'Accounting data'!$J$2:$J$37003,"34*",'Accounting data'!$K$2:$K$37003,"69*")+SUMIFS('Accounting data'!$G$2:$G$37003,'Accounting data'!$H$2:$H$37003,"9999*",'Accounting data'!$I$2:$I$37003,"9*",'Accounting data'!$J$2:$J$37003,"34*",'Accounting data'!$K$2:$K$37003,"69*")</f>
        <v>0</v>
      </c>
    </row>
    <row r="1342" spans="1:5" x14ac:dyDescent="0.25">
      <c r="A1342" s="556"/>
      <c r="B1342" s="556"/>
      <c r="C1342" s="556"/>
      <c r="D1342" s="556"/>
      <c r="E1342" s="557"/>
    </row>
    <row r="1343" spans="1:5" x14ac:dyDescent="0.25">
      <c r="A1343" s="558" t="s">
        <v>1011</v>
      </c>
      <c r="B1343" s="556" t="s">
        <v>1012</v>
      </c>
      <c r="C1343" s="556">
        <v>3400</v>
      </c>
      <c r="D1343" s="565">
        <v>6700</v>
      </c>
      <c r="E1343" s="557">
        <f>SUMIFS('Accounting data'!$G$2:$G$37003,'Accounting data'!$H$2:$H$37003,"9999*",'Accounting data'!$I$2:$I$37003,"7*",'Accounting data'!$J$2:$J$37003,"34*",'Accounting data'!$K$2:$K$37003,"67*")+SUMIFS('Accounting data'!$G$2:$G$37003,'Accounting data'!$H$2:$H$37003,"9999*",'Accounting data'!$I$2:$I$37003,"8*",'Accounting data'!$J$2:$J$37003,"34*",'Accounting data'!$K$2:$K$37003,"67*")+SUMIFS('Accounting data'!$G$2:$G$37003,'Accounting data'!$H$2:$H$37003,"9999*",'Accounting data'!$I$2:$I$37003,"9*",'Accounting data'!$J$2:$J$37003,"34*",'Accounting data'!$K$2:$K$37003,"67*")</f>
        <v>0</v>
      </c>
    </row>
    <row r="1344" spans="1:5" x14ac:dyDescent="0.25">
      <c r="A1344" s="558"/>
      <c r="B1344" s="556"/>
      <c r="C1344" s="556"/>
      <c r="D1344" s="565"/>
      <c r="E1344" s="557"/>
    </row>
    <row r="1345" spans="1:5" x14ac:dyDescent="0.25">
      <c r="A1345" s="558"/>
      <c r="B1345" s="556"/>
      <c r="C1345" s="556"/>
      <c r="D1345" s="565"/>
      <c r="E1345" s="557"/>
    </row>
    <row r="1346" spans="1:5" x14ac:dyDescent="0.25">
      <c r="A1346" s="559" t="s">
        <v>1117</v>
      </c>
      <c r="B1346" s="559"/>
      <c r="C1346" s="559"/>
      <c r="D1346" s="559"/>
      <c r="E1346" s="561">
        <f>(E1336-E1337-E1338)-((E1339+E1340)-(E1341+E1342))-(E1343+E1344+E1345)</f>
        <v>0</v>
      </c>
    </row>
    <row r="1347" spans="1:5" x14ac:dyDescent="0.25">
      <c r="A1347" s="556" t="s">
        <v>1010</v>
      </c>
      <c r="B1347" s="556" t="s">
        <v>1012</v>
      </c>
      <c r="C1347" s="556">
        <v>4000</v>
      </c>
      <c r="D1347" s="556">
        <v>6000</v>
      </c>
      <c r="E1347" s="557">
        <f>SUMIFS('Accounting data'!$G$2:$G$37003,'Accounting data'!$I$2:$I$37003,"7*",'Accounting data'!$J$2:$J$37003,"4*",'Accounting data'!$K$2:$K$37003,"6*")+SUMIFS('Accounting data'!$G$2:$G$37003,'Accounting data'!$I$2:$I$37003,"8*",'Accounting data'!$J$2:$J$37003,"4*",'Accounting data'!$K$2:$K$37003,"6*")+SUMIFS('Accounting data'!$G$2:$G$37003,'Accounting data'!$I$2:$I$37003,"9*",'Accounting data'!$J$2:$J$37003,"4*",'Accounting data'!$K$2:$K$37003,"6*")</f>
        <v>0</v>
      </c>
    </row>
    <row r="1348" spans="1:5" x14ac:dyDescent="0.25">
      <c r="A1348" s="556" t="s">
        <v>1010</v>
      </c>
      <c r="B1348" s="556" t="s">
        <v>1012</v>
      </c>
      <c r="C1348" s="556">
        <v>4000</v>
      </c>
      <c r="D1348" s="556">
        <v>6900</v>
      </c>
      <c r="E1348" s="557">
        <f>SUMIFS('Accounting data'!$G$2:$G$37003,'Accounting data'!$I$2:$I$37003,"7*",'Accounting data'!$J$2:$J$37003,"4*",'Accounting data'!$K$2:$K$37003,"69*")+SUMIFS('Accounting data'!$G$2:$G$37003,'Accounting data'!$I$2:$I$37003,"8*",'Accounting data'!$J$2:$J$37003,"4*",'Accounting data'!$K$2:$K$37003,"69*")+SUMIFS('Accounting data'!$G$2:$G$37003,'Accounting data'!$I$2:$I$37003,"9*",'Accounting data'!$J$2:$J$37003,"4*",'Accounting data'!$K$2:$K$37003,"69*")</f>
        <v>0</v>
      </c>
    </row>
    <row r="1349" spans="1:5" x14ac:dyDescent="0.25">
      <c r="A1349" s="556" t="s">
        <v>1010</v>
      </c>
      <c r="B1349" s="556" t="s">
        <v>1012</v>
      </c>
      <c r="C1349" s="556">
        <v>4000</v>
      </c>
      <c r="D1349" s="565">
        <v>6700</v>
      </c>
      <c r="E1349" s="557">
        <f>SUMIFS('Accounting data'!$G$2:$G$37003,'Accounting data'!$I$2:$I$37003,"7*",'Accounting data'!$J$2:$J$37003,"4*",'Accounting data'!$K$2:$K$37003,"67*")+SUMIFS('Accounting data'!$G$2:$G$37003,'Accounting data'!$I$2:$I$37003,"8*",'Accounting data'!$J$2:$J$37003,"4*",'Accounting data'!$K$2:$K$37003,"67*")+SUMIFS('Accounting data'!$G$2:$G$37003,'Accounting data'!$I$2:$I$37003,"9*",'Accounting data'!$J$2:$J$37003,"4*",'Accounting data'!$K$2:$K$37003,"67*")</f>
        <v>0</v>
      </c>
    </row>
    <row r="1350" spans="1:5" x14ac:dyDescent="0.25">
      <c r="A1350" s="558" t="s">
        <v>1011</v>
      </c>
      <c r="B1350" s="556" t="s">
        <v>1012</v>
      </c>
      <c r="C1350" s="556">
        <v>4000</v>
      </c>
      <c r="D1350" s="556">
        <v>6000</v>
      </c>
      <c r="E1350" s="557">
        <f>SUMIFS('Accounting data'!$G$2:$G$37003,'Accounting data'!$H$2:$H$37003,"9999*",'Accounting data'!$I$2:$I$37003,"7*",'Accounting data'!$J$2:$J$37003,"4*",'Accounting data'!$K$2:$K$37003,"6*")+SUMIFS('Accounting data'!$G$2:$G$37003,'Accounting data'!$H$2:$H$37003,"9999*",'Accounting data'!$I$2:$I$37003,"8*",'Accounting data'!$J$2:$J$37003,"4*",'Accounting data'!$K$2:$K$37003,"6*")+SUMIFS('Accounting data'!$G$2:$G$37003,'Accounting data'!$H$2:$H$37003,"9999*",'Accounting data'!$I$2:$I$37003,"9*",'Accounting data'!$J$2:$J$37003,"4*",'Accounting data'!$K$2:$K$37003,"6*")</f>
        <v>0</v>
      </c>
    </row>
    <row r="1351" spans="1:5" x14ac:dyDescent="0.25">
      <c r="A1351" s="556"/>
      <c r="B1351" s="556"/>
      <c r="C1351" s="556"/>
      <c r="D1351" s="556"/>
      <c r="E1351" s="557"/>
    </row>
    <row r="1352" spans="1:5" x14ac:dyDescent="0.25">
      <c r="A1352" s="558" t="s">
        <v>1011</v>
      </c>
      <c r="B1352" s="556" t="s">
        <v>1012</v>
      </c>
      <c r="C1352" s="556">
        <v>4000</v>
      </c>
      <c r="D1352" s="556">
        <v>6900</v>
      </c>
      <c r="E1352" s="557">
        <f>SUMIFS('Accounting data'!$G$2:$G$37003,'Accounting data'!$H$2:$H$37003,"9999*",'Accounting data'!$I$2:$I$37003,"7*",'Accounting data'!$J$2:$J$37003,"4*",'Accounting data'!$K$2:$K$37003,"69*")+SUMIFS('Accounting data'!$G$2:$G$37003,'Accounting data'!$H$2:$H$37003,"9999*",'Accounting data'!$I$2:$I$37003,"8*",'Accounting data'!$J$2:$J$37003,"4*",'Accounting data'!$K$2:$K$37003,"69*")+SUMIFS('Accounting data'!$G$2:$G$37003,'Accounting data'!$H$2:$H$37003,"9999*",'Accounting data'!$I$2:$I$37003,"9*",'Accounting data'!$J$2:$J$37003,"4*",'Accounting data'!$K$2:$K$37003,"69*")</f>
        <v>0</v>
      </c>
    </row>
    <row r="1353" spans="1:5" x14ac:dyDescent="0.25">
      <c r="A1353" s="556"/>
      <c r="B1353" s="556"/>
      <c r="C1353" s="556"/>
      <c r="D1353" s="556"/>
      <c r="E1353" s="557"/>
    </row>
    <row r="1354" spans="1:5" x14ac:dyDescent="0.25">
      <c r="A1354" s="558" t="s">
        <v>1011</v>
      </c>
      <c r="B1354" s="556" t="s">
        <v>1012</v>
      </c>
      <c r="C1354" s="556">
        <v>4000</v>
      </c>
      <c r="D1354" s="565">
        <v>6700</v>
      </c>
      <c r="E1354" s="557">
        <f>SUMIFS('Accounting data'!$G$2:$G$37003,'Accounting data'!$H$2:$H$37003,"9999*",'Accounting data'!$I$2:$I$37003,"7*",'Accounting data'!$J$2:$J$37003,"4*",'Accounting data'!$K$2:$K$37003,"67*")+SUMIFS('Accounting data'!$G$2:$G$37003,'Accounting data'!$H$2:$H$37003,"9999*",'Accounting data'!$I$2:$I$37003,"8*",'Accounting data'!$J$2:$J$37003,"4*",'Accounting data'!$K$2:$K$37003,"67*")+SUMIFS('Accounting data'!$G$2:$G$37003,'Accounting data'!$H$2:$H$37003,"9999*",'Accounting data'!$I$2:$I$37003,"9*",'Accounting data'!$J$2:$J$37003,"4*",'Accounting data'!$K$2:$K$37003,"67*")</f>
        <v>0</v>
      </c>
    </row>
    <row r="1355" spans="1:5" x14ac:dyDescent="0.25">
      <c r="A1355" s="558"/>
      <c r="B1355" s="556"/>
      <c r="C1355" s="556"/>
      <c r="D1355" s="565"/>
      <c r="E1355" s="557"/>
    </row>
    <row r="1356" spans="1:5" x14ac:dyDescent="0.25">
      <c r="A1356" s="558"/>
      <c r="B1356" s="556"/>
      <c r="C1356" s="556"/>
      <c r="D1356" s="565"/>
      <c r="E1356" s="557"/>
    </row>
    <row r="1357" spans="1:5" x14ac:dyDescent="0.25">
      <c r="A1357" s="559" t="s">
        <v>1118</v>
      </c>
      <c r="B1357" s="559"/>
      <c r="C1357" s="559"/>
      <c r="D1357" s="559"/>
      <c r="E1357" s="561">
        <f>(E1347-E1348-E1349)-((E1350+E1351)-(E1352+E1353))-(E1354+E1355+E1356)</f>
        <v>0</v>
      </c>
    </row>
    <row r="1358" spans="1:5" x14ac:dyDescent="0.25">
      <c r="A1358" s="556" t="s">
        <v>1010</v>
      </c>
      <c r="B1358" s="556" t="s">
        <v>1012</v>
      </c>
      <c r="C1358" s="556">
        <v>5000</v>
      </c>
      <c r="D1358" s="556">
        <v>6000</v>
      </c>
      <c r="E1358" s="557">
        <f>SUMIFS('Accounting data'!$G$2:$G$37003,'Accounting data'!$I$2:$I$37003,"7*",'Accounting data'!$J$2:$J$37003,"5*",'Accounting data'!$K$2:$K$37003,"6*")+SUMIFS('Accounting data'!$G$2:$G$37003,'Accounting data'!$I$2:$I$37003,"8*",'Accounting data'!$J$2:$J$37003,"5*",'Accounting data'!$K$2:$K$37003,"6*")+SUMIFS('Accounting data'!$G$2:$G$37003,'Accounting data'!$I$2:$I$37003,"9*",'Accounting data'!$J$2:$J$37003,"5*",'Accounting data'!$K$2:$K$37003,"6*")</f>
        <v>0</v>
      </c>
    </row>
    <row r="1359" spans="1:5" x14ac:dyDescent="0.25">
      <c r="A1359" s="556" t="s">
        <v>1010</v>
      </c>
      <c r="B1359" s="556" t="s">
        <v>1012</v>
      </c>
      <c r="C1359" s="556">
        <v>5000</v>
      </c>
      <c r="D1359" s="556">
        <v>6900</v>
      </c>
      <c r="E1359" s="557">
        <f>SUMIFS('Accounting data'!$G$2:$G$37003,'Accounting data'!$I$2:$I$37003,"7*",'Accounting data'!$J$2:$J$37003,"5*",'Accounting data'!$K$2:$K$37003,"69*")+SUMIFS('Accounting data'!$G$2:$G$37003,'Accounting data'!$I$2:$I$37003,"8*",'Accounting data'!$J$2:$J$37003,"5*",'Accounting data'!$K$2:$K$37003,"69*")+SUMIFS('Accounting data'!$G$2:$G$37003,'Accounting data'!$I$2:$I$37003,"9*",'Accounting data'!$J$2:$J$37003,"5*",'Accounting data'!$K$2:$K$37003,"69*")</f>
        <v>0</v>
      </c>
    </row>
    <row r="1360" spans="1:5" x14ac:dyDescent="0.25">
      <c r="A1360" s="556" t="s">
        <v>1010</v>
      </c>
      <c r="B1360" s="556" t="s">
        <v>1012</v>
      </c>
      <c r="C1360" s="556">
        <v>5000</v>
      </c>
      <c r="D1360" s="565">
        <v>6700</v>
      </c>
      <c r="E1360" s="557">
        <f>SUMIFS('Accounting data'!$G$2:$G$37003,'Accounting data'!$I$2:$I$37003,"7*",'Accounting data'!$J$2:$J$37003,"5*",'Accounting data'!$K$2:$K$37003,"67*")+SUMIFS('Accounting data'!$G$2:$G$37003,'Accounting data'!$I$2:$I$37003,"8*",'Accounting data'!$J$2:$J$37003,"5*",'Accounting data'!$K$2:$K$37003,"67*")+SUMIFS('Accounting data'!$G$2:$G$37003,'Accounting data'!$I$2:$I$37003,"9*",'Accounting data'!$J$2:$J$37003,"5*",'Accounting data'!$K$2:$K$37003,"67*")</f>
        <v>0</v>
      </c>
    </row>
    <row r="1361" spans="1:5" x14ac:dyDescent="0.25">
      <c r="A1361" s="558" t="s">
        <v>1011</v>
      </c>
      <c r="B1361" s="556" t="s">
        <v>1012</v>
      </c>
      <c r="C1361" s="556">
        <v>5000</v>
      </c>
      <c r="D1361" s="556">
        <v>6000</v>
      </c>
      <c r="E1361" s="557">
        <f>SUMIFS('Accounting data'!$G$2:$G$37003,'Accounting data'!$H$2:$H$37003,"9999*",'Accounting data'!$I$2:$I$37003,"7*",'Accounting data'!$J$2:$J$37003,"5*",'Accounting data'!$K$2:$K$37003,"6*")+SUMIFS('Accounting data'!$G$2:$G$37003,'Accounting data'!$H$2:$H$37003,"9999*",'Accounting data'!$I$2:$I$37003,"8*",'Accounting data'!$J$2:$J$37003,"5*",'Accounting data'!$K$2:$K$37003,"6*")+SUMIFS('Accounting data'!$G$2:$G$37003,'Accounting data'!$H$2:$H$37003,"9999*",'Accounting data'!$I$2:$I$37003,"9*",'Accounting data'!$J$2:$J$37003,"5*",'Accounting data'!$K$2:$K$37003,"6*")</f>
        <v>0</v>
      </c>
    </row>
    <row r="1362" spans="1:5" x14ac:dyDescent="0.25">
      <c r="A1362" s="556"/>
      <c r="B1362" s="556"/>
      <c r="C1362" s="556"/>
      <c r="D1362" s="556"/>
      <c r="E1362" s="557"/>
    </row>
    <row r="1363" spans="1:5" x14ac:dyDescent="0.25">
      <c r="A1363" s="558" t="s">
        <v>1011</v>
      </c>
      <c r="B1363" s="556" t="s">
        <v>1012</v>
      </c>
      <c r="C1363" s="556">
        <v>5000</v>
      </c>
      <c r="D1363" s="556">
        <v>6900</v>
      </c>
      <c r="E1363" s="557">
        <f>SUMIFS('Accounting data'!$G$2:$G$37003,'Accounting data'!$H$2:$H$37003,"9999*",'Accounting data'!$I$2:$I$37003,"7*",'Accounting data'!$J$2:$J$37003,"5*",'Accounting data'!$K$2:$K$37003,"69*")+SUMIFS('Accounting data'!$G$2:$G$37003,'Accounting data'!$H$2:$H$37003,"9999*",'Accounting data'!$I$2:$I$37003,"8*",'Accounting data'!$J$2:$J$37003,"5*",'Accounting data'!$K$2:$K$37003,"69*")+SUMIFS('Accounting data'!$G$2:$G$37003,'Accounting data'!$H$2:$H$37003,"9999*",'Accounting data'!$I$2:$I$37003,"9*",'Accounting data'!$J$2:$J$37003,"5*",'Accounting data'!$K$2:$K$37003,"69*")</f>
        <v>0</v>
      </c>
    </row>
    <row r="1364" spans="1:5" x14ac:dyDescent="0.25">
      <c r="A1364" s="556"/>
      <c r="B1364" s="556"/>
      <c r="C1364" s="556"/>
      <c r="D1364" s="556"/>
      <c r="E1364" s="557"/>
    </row>
    <row r="1365" spans="1:5" x14ac:dyDescent="0.25">
      <c r="A1365" s="558" t="s">
        <v>1011</v>
      </c>
      <c r="B1365" s="556" t="s">
        <v>1012</v>
      </c>
      <c r="C1365" s="556">
        <v>5000</v>
      </c>
      <c r="D1365" s="565">
        <v>6700</v>
      </c>
      <c r="E1365" s="557">
        <f>SUMIFS('Accounting data'!$G$2:$G$37003,'Accounting data'!$H$2:$H$37003,"9999*",'Accounting data'!$I$2:$I$37003,"7*",'Accounting data'!$J$2:$J$37003,"5*",'Accounting data'!$K$2:$K$37003,"67*")+SUMIFS('Accounting data'!$G$2:$G$37003,'Accounting data'!$H$2:$H$37003,"9999*",'Accounting data'!$I$2:$I$37003,"8*",'Accounting data'!$J$2:$J$37003,"5*",'Accounting data'!$K$2:$K$37003,"67*")+SUMIFS('Accounting data'!$G$2:$G$37003,'Accounting data'!$H$2:$H$37003,"9999*",'Accounting data'!$I$2:$I$37003,"9*",'Accounting data'!$J$2:$J$37003,"5*",'Accounting data'!$K$2:$K$37003,"67*")</f>
        <v>0</v>
      </c>
    </row>
    <row r="1366" spans="1:5" x14ac:dyDescent="0.25">
      <c r="A1366" s="558"/>
      <c r="B1366" s="556"/>
      <c r="C1366" s="556"/>
      <c r="D1366" s="565"/>
      <c r="E1366" s="557"/>
    </row>
    <row r="1367" spans="1:5" x14ac:dyDescent="0.25">
      <c r="A1367" s="558"/>
      <c r="B1367" s="556"/>
      <c r="C1367" s="556"/>
      <c r="D1367" s="565"/>
      <c r="E1367" s="557"/>
    </row>
    <row r="1368" spans="1:5" x14ac:dyDescent="0.25">
      <c r="A1368" s="559" t="s">
        <v>1119</v>
      </c>
      <c r="B1368" s="559"/>
      <c r="C1368" s="559"/>
      <c r="D1368" s="559"/>
      <c r="E1368" s="561">
        <f>(E1358-E1359-E1360)-((E1361+E1362)-(E1363+E1364))-(E1365+E1366+E1367)</f>
        <v>0</v>
      </c>
    </row>
    <row r="1369" spans="1:5" x14ac:dyDescent="0.25">
      <c r="A1369" s="562" t="s">
        <v>1120</v>
      </c>
      <c r="B1369" s="562"/>
      <c r="C1369" s="562"/>
      <c r="D1369" s="562"/>
      <c r="E1369" s="566">
        <f>E1225+E1236+E1247+E1258+E1269+E1280+E1291+E1302+E1313+E1324+E1335+E1346</f>
        <v>0</v>
      </c>
    </row>
    <row r="1370" spans="1:5" x14ac:dyDescent="0.25">
      <c r="A1370" s="558" t="s">
        <v>1026</v>
      </c>
      <c r="B1370" s="558">
        <v>700</v>
      </c>
      <c r="C1370" s="565">
        <v>1000</v>
      </c>
      <c r="D1370" s="556">
        <v>6000</v>
      </c>
      <c r="E1370" s="557">
        <f>SUMIFS('Accounting data'!$G$2:$G$37003,'Accounting data'!$H$2:$H$37003,"11*",'Accounting data'!$I$2:$I$37003,"7*",'Accounting data'!$J$2:$J$37003,"1*",'Accounting data'!$K$2:$K$37003,"6*")+SUMIFS('Accounting data'!$G$2:$G$37003,'Accounting data'!$H$2:$H$37003,"12*",'Accounting data'!$I$2:$I$37003,"7*",'Accounting data'!$J$2:$J$37003,"1*",'Accounting data'!$K$2:$K$37003,"6*")+SUMIFS('Accounting data'!$G$2:$G$37003,'Accounting data'!$H$2:$H$37003,"13*",'Accounting data'!$I$2:$I$37003,"7*",'Accounting data'!$J$2:$J$37003,"1*",'Accounting data'!$K$2:$K$37003,"6*")</f>
        <v>0</v>
      </c>
    </row>
    <row r="1371" spans="1:5" x14ac:dyDescent="0.25">
      <c r="A1371" s="558" t="s">
        <v>1026</v>
      </c>
      <c r="B1371" s="558">
        <v>800</v>
      </c>
      <c r="C1371" s="565">
        <v>1000</v>
      </c>
      <c r="D1371" s="556">
        <v>6000</v>
      </c>
      <c r="E1371" s="557">
        <f>SUMIFS('Accounting data'!$G$2:$G$37003,'Accounting data'!$H$2:$H$37003,"11*",'Accounting data'!$I$2:$I$37003,"8*",'Accounting data'!$J$2:$J$37003,"1*",'Accounting data'!$K$2:$K$37003,"6*")+SUMIFS('Accounting data'!$G$2:$G$37003,'Accounting data'!$H$2:$H$37003,"12*",'Accounting data'!$I$2:$I$37003,"8*",'Accounting data'!$J$2:$J$37003,"1*",'Accounting data'!$K$2:$K$37003,"6*")+SUMIFS('Accounting data'!$G$2:$G$37003,'Accounting data'!$H$2:$H$37003,"13*",'Accounting data'!$I$2:$I$37003,"8*",'Accounting data'!$J$2:$J$37003,"1*",'Accounting data'!$K$2:$K$37003,"6*")</f>
        <v>0</v>
      </c>
    </row>
    <row r="1372" spans="1:5" x14ac:dyDescent="0.25">
      <c r="A1372" s="558" t="s">
        <v>1026</v>
      </c>
      <c r="B1372" s="558">
        <v>900</v>
      </c>
      <c r="C1372" s="565">
        <v>1000</v>
      </c>
      <c r="D1372" s="556">
        <v>6000</v>
      </c>
      <c r="E1372" s="557">
        <f>SUMIFS('Accounting data'!$G$2:$G$37003,'Accounting data'!$H$2:$H$37003,"11*",'Accounting data'!$I$2:$I$37003,"9*",'Accounting data'!$J$2:$J$37003,"1*",'Accounting data'!$K$2:$K$37003,"6*")+SUMIFS('Accounting data'!$G$2:$G$37003,'Accounting data'!$H$2:$H$37003,"12*",'Accounting data'!$I$2:$I$37003,"9*",'Accounting data'!$J$2:$J$37003,"1*",'Accounting data'!$K$2:$K$37003,"6*")+SUMIFS('Accounting data'!$G$2:$G$37003,'Accounting data'!$H$2:$H$37003,"13*",'Accounting data'!$I$2:$I$37003,"9*",'Accounting data'!$J$2:$J$37003,"1*",'Accounting data'!$K$2:$K$37003,"6*")</f>
        <v>0</v>
      </c>
    </row>
    <row r="1373" spans="1:5" x14ac:dyDescent="0.25">
      <c r="A1373" s="558" t="s">
        <v>1026</v>
      </c>
      <c r="B1373" s="558">
        <v>700</v>
      </c>
      <c r="C1373" s="565">
        <v>2000</v>
      </c>
      <c r="D1373" s="556">
        <v>6000</v>
      </c>
      <c r="E1373" s="557">
        <f>SUMIFS('Accounting data'!$G$2:$G$37003,'Accounting data'!$H$2:$H$37003,"11*",'Accounting data'!$I$2:$I$37003,"7*",'Accounting data'!$J$2:$J$37003,"2*",'Accounting data'!$K$2:$K$37003,"6*")+SUMIFS('Accounting data'!$G$2:$G$37003,'Accounting data'!$H$2:$H$37003,"12*",'Accounting data'!$I$2:$I$37003,"7*",'Accounting data'!$J$2:$J$37003,"2*",'Accounting data'!$K$2:$K$37003,"6*")+SUMIFS('Accounting data'!$G$2:$G$37003,'Accounting data'!$H$2:$H$37003,"13*",'Accounting data'!$I$2:$I$37003,"7*",'Accounting data'!$J$2:$J$37003,"2*",'Accounting data'!$K$2:$K$37003,"6*")</f>
        <v>0</v>
      </c>
    </row>
    <row r="1374" spans="1:5" x14ac:dyDescent="0.25">
      <c r="A1374" s="558" t="s">
        <v>1026</v>
      </c>
      <c r="B1374" s="558">
        <v>800</v>
      </c>
      <c r="C1374" s="565">
        <v>2000</v>
      </c>
      <c r="D1374" s="556">
        <v>6000</v>
      </c>
      <c r="E1374" s="557">
        <f>SUMIFS('Accounting data'!$G$2:$G$37003,'Accounting data'!$H$2:$H$37003,"11*",'Accounting data'!$I$2:$I$37003,"8*",'Accounting data'!$J$2:$J$37003,"2*",'Accounting data'!$K$2:$K$37003,"6*")+SUMIFS('Accounting data'!$G$2:$G$37003,'Accounting data'!$H$2:$H$37003,"12*",'Accounting data'!$I$2:$I$37003,"8*",'Accounting data'!$J$2:$J$37003,"2*",'Accounting data'!$K$2:$K$37003,"6*")+SUMIFS('Accounting data'!$G$2:$G$37003,'Accounting data'!$H$2:$H$37003,"13*",'Accounting data'!$I$2:$I$37003,"8*",'Accounting data'!$J$2:$J$37003,"2*",'Accounting data'!$K$2:$K$37003,"6*")</f>
        <v>0</v>
      </c>
    </row>
    <row r="1375" spans="1:5" x14ac:dyDescent="0.25">
      <c r="A1375" s="558" t="s">
        <v>1026</v>
      </c>
      <c r="B1375" s="558">
        <v>900</v>
      </c>
      <c r="C1375" s="565">
        <v>2000</v>
      </c>
      <c r="D1375" s="556">
        <v>6000</v>
      </c>
      <c r="E1375" s="557">
        <f>SUMIFS('Accounting data'!$G$2:$G$37003,'Accounting data'!$H$2:$H$37003,"11*",'Accounting data'!$I$2:$I$37003,"9*",'Accounting data'!$J$2:$J$37003,"2*",'Accounting data'!$K$2:$K$37003,"6*")+SUMIFS('Accounting data'!$G$2:$G$37003,'Accounting data'!$H$2:$H$37003,"12*",'Accounting data'!$I$2:$I$37003,"9*",'Accounting data'!$J$2:$J$37003,"2*",'Accounting data'!$K$2:$K$37003,"6*")+SUMIFS('Accounting data'!$G$2:$G$37003,'Accounting data'!$H$2:$H$37003,"13*",'Accounting data'!$I$2:$I$37003,"9*",'Accounting data'!$J$2:$J$37003,"2*",'Accounting data'!$K$2:$K$37003,"6*")</f>
        <v>0</v>
      </c>
    </row>
    <row r="1376" spans="1:5" x14ac:dyDescent="0.25">
      <c r="A1376" s="558" t="s">
        <v>1026</v>
      </c>
      <c r="B1376" s="558">
        <v>700</v>
      </c>
      <c r="C1376" s="565">
        <v>3000</v>
      </c>
      <c r="D1376" s="556">
        <v>6000</v>
      </c>
      <c r="E1376" s="557">
        <f>SUMIFS('Accounting data'!$G$2:$G$37003,'Accounting data'!$H$2:$H$37003,"11*",'Accounting data'!$I$2:$I$37003,"7*",'Accounting data'!$J$2:$J$37003,"3*",'Accounting data'!$K$2:$K$37003,"6*")+SUMIFS('Accounting data'!$G$2:$G$37003,'Accounting data'!$H$2:$H$37003,"12*",'Accounting data'!$I$2:$I$37003,"7*",'Accounting data'!$J$2:$J$37003,"3*",'Accounting data'!$K$2:$K$37003,"6*")+SUMIFS('Accounting data'!$G$2:$G$37003,'Accounting data'!$H$2:$H$37003,"13*",'Accounting data'!$I$2:$I$37003,"7*",'Accounting data'!$J$2:$J$37003,"3*",'Accounting data'!$K$2:$K$37003,"6*")</f>
        <v>0</v>
      </c>
    </row>
    <row r="1377" spans="1:5" x14ac:dyDescent="0.25">
      <c r="A1377" s="558" t="s">
        <v>1026</v>
      </c>
      <c r="B1377" s="558">
        <v>800</v>
      </c>
      <c r="C1377" s="565">
        <v>3000</v>
      </c>
      <c r="D1377" s="556">
        <v>6000</v>
      </c>
      <c r="E1377" s="557">
        <f>SUMIFS('Accounting data'!$G$2:$G$37003,'Accounting data'!$H$2:$H$37003,"11*",'Accounting data'!$I$2:$I$37003,"8*",'Accounting data'!$J$2:$J$37003,"3*",'Accounting data'!$K$2:$K$37003,"6*")+SUMIFS('Accounting data'!$G$2:$G$37003,'Accounting data'!$H$2:$H$37003,"12*",'Accounting data'!$I$2:$I$37003,"8*",'Accounting data'!$J$2:$J$37003,"3*",'Accounting data'!$K$2:$K$37003,"6*")+SUMIFS('Accounting data'!$G$2:$G$37003,'Accounting data'!$H$2:$H$37003,"13*",'Accounting data'!$I$2:$I$37003,"8*",'Accounting data'!$J$2:$J$37003,"3*",'Accounting data'!$K$2:$K$37003,"6*")</f>
        <v>0</v>
      </c>
    </row>
    <row r="1378" spans="1:5" x14ac:dyDescent="0.25">
      <c r="A1378" s="558" t="s">
        <v>1026</v>
      </c>
      <c r="B1378" s="558">
        <v>900</v>
      </c>
      <c r="C1378" s="565">
        <v>3000</v>
      </c>
      <c r="D1378" s="556">
        <v>6000</v>
      </c>
      <c r="E1378" s="557">
        <f>SUMIFS('Accounting data'!$G$2:$G$37003,'Accounting data'!$H$2:$H$37003,"11*",'Accounting data'!$I$2:$I$37003,"9*",'Accounting data'!$J$2:$J$37003,"3*",'Accounting data'!$K$2:$K$37003,"6*")+SUMIFS('Accounting data'!$G$2:$G$37003,'Accounting data'!$H$2:$H$37003,"12*",'Accounting data'!$I$2:$I$37003,"9*",'Accounting data'!$J$2:$J$37003,"3*",'Accounting data'!$K$2:$K$37003,"6*")+SUMIFS('Accounting data'!$G$2:$G$37003,'Accounting data'!$H$2:$H$37003,"13*",'Accounting data'!$I$2:$I$37003,"9*",'Accounting data'!$J$2:$J$37003,"3*",'Accounting data'!$K$2:$K$37003,"6*")</f>
        <v>0</v>
      </c>
    </row>
    <row r="1379" spans="1:5" x14ac:dyDescent="0.25">
      <c r="A1379" s="558" t="s">
        <v>1026</v>
      </c>
      <c r="B1379" s="558">
        <v>700</v>
      </c>
      <c r="C1379" s="565">
        <v>1000</v>
      </c>
      <c r="D1379" s="556">
        <v>6900</v>
      </c>
      <c r="E1379" s="557">
        <f>SUMIFS('Accounting data'!$G$2:$G$37003,'Accounting data'!$H$2:$H$37003,"11*",'Accounting data'!$I$2:$I$37003,"7*",'Accounting data'!$J$2:$J$37003,"1*",'Accounting data'!$K$2:$K$37003,"69*")+SUMIFS('Accounting data'!$G$2:$G$37003,'Accounting data'!$H$2:$H$37003,"12*",'Accounting data'!$I$2:$I$37003,"7*",'Accounting data'!$J$2:$J$37003,"1*",'Accounting data'!$K$2:$K$37003,"69*")+SUMIFS('Accounting data'!$G$2:$G$37003,'Accounting data'!$H$2:$H$37003,"13*",'Accounting data'!$I$2:$I$37003,"7*",'Accounting data'!$J$2:$J$37003,"1*",'Accounting data'!$K$2:$K$37003,"69*")</f>
        <v>0</v>
      </c>
    </row>
    <row r="1380" spans="1:5" x14ac:dyDescent="0.25">
      <c r="A1380" s="558" t="s">
        <v>1026</v>
      </c>
      <c r="B1380" s="558">
        <v>800</v>
      </c>
      <c r="C1380" s="565">
        <v>1000</v>
      </c>
      <c r="D1380" s="556">
        <v>6900</v>
      </c>
      <c r="E1380" s="557">
        <f>SUMIFS('Accounting data'!$G$2:$G$37003,'Accounting data'!$H$2:$H$37003,"11*",'Accounting data'!$I$2:$I$37003,"8*",'Accounting data'!$J$2:$J$37003,"1*",'Accounting data'!$K$2:$K$37003,"69*")+SUMIFS('Accounting data'!$G$2:$G$37003,'Accounting data'!$H$2:$H$37003,"12*",'Accounting data'!$I$2:$I$37003,"8*",'Accounting data'!$J$2:$J$37003,"1*",'Accounting data'!$K$2:$K$37003,"69*")+SUMIFS('Accounting data'!$G$2:$G$37003,'Accounting data'!$H$2:$H$37003,"13*",'Accounting data'!$I$2:$I$37003,"8*",'Accounting data'!$J$2:$J$37003,"1*",'Accounting data'!$K$2:$K$37003,"69*")</f>
        <v>0</v>
      </c>
    </row>
    <row r="1381" spans="1:5" x14ac:dyDescent="0.25">
      <c r="A1381" s="558" t="s">
        <v>1026</v>
      </c>
      <c r="B1381" s="558">
        <v>900</v>
      </c>
      <c r="C1381" s="565">
        <v>1000</v>
      </c>
      <c r="D1381" s="556">
        <v>6900</v>
      </c>
      <c r="E1381" s="557">
        <f>SUMIFS('Accounting data'!$G$2:$G$37003,'Accounting data'!$H$2:$H$37003,"11*",'Accounting data'!$I$2:$I$37003,"9*",'Accounting data'!$J$2:$J$37003,"1*",'Accounting data'!$K$2:$K$37003,"69*")+SUMIFS('Accounting data'!$G$2:$G$37003,'Accounting data'!$H$2:$H$37003,"12*",'Accounting data'!$I$2:$I$37003,"9*",'Accounting data'!$J$2:$J$37003,"1*",'Accounting data'!$K$2:$K$37003,"69*")+SUMIFS('Accounting data'!$G$2:$G$37003,'Accounting data'!$H$2:$H$37003,"13*",'Accounting data'!$I$2:$I$37003,"9*",'Accounting data'!$J$2:$J$37003,"1*",'Accounting data'!$K$2:$K$37003,"69*")</f>
        <v>0</v>
      </c>
    </row>
    <row r="1382" spans="1:5" x14ac:dyDescent="0.25">
      <c r="A1382" s="558" t="s">
        <v>1026</v>
      </c>
      <c r="B1382" s="558">
        <v>700</v>
      </c>
      <c r="C1382" s="565">
        <v>2000</v>
      </c>
      <c r="D1382" s="556">
        <v>6900</v>
      </c>
      <c r="E1382" s="557">
        <f>SUMIFS('Accounting data'!$G$2:$G$37003,'Accounting data'!$H$2:$H$37003,"11*",'Accounting data'!$I$2:$I$37003,"7*",'Accounting data'!$J$2:$J$37003,"2*",'Accounting data'!$K$2:$K$37003,"69*")+SUMIFS('Accounting data'!$G$2:$G$37003,'Accounting data'!$H$2:$H$37003,"12*",'Accounting data'!$I$2:$I$37003,"7*",'Accounting data'!$J$2:$J$37003,"2*",'Accounting data'!$K$2:$K$37003,"69*")+SUMIFS('Accounting data'!$G$2:$G$37003,'Accounting data'!$H$2:$H$37003,"13*",'Accounting data'!$I$2:$I$37003,"7*",'Accounting data'!$J$2:$J$37003,"2*",'Accounting data'!$K$2:$K$37003,"69*")</f>
        <v>0</v>
      </c>
    </row>
    <row r="1383" spans="1:5" x14ac:dyDescent="0.25">
      <c r="A1383" s="558" t="s">
        <v>1026</v>
      </c>
      <c r="B1383" s="558">
        <v>800</v>
      </c>
      <c r="C1383" s="565">
        <v>2000</v>
      </c>
      <c r="D1383" s="556">
        <v>6900</v>
      </c>
      <c r="E1383" s="557">
        <f>SUMIFS('Accounting data'!$G$2:$G$37003,'Accounting data'!$H$2:$H$37003,"11*",'Accounting data'!$I$2:$I$37003,"8*",'Accounting data'!$J$2:$J$37003,"2*",'Accounting data'!$K$2:$K$37003,"69*")+SUMIFS('Accounting data'!$G$2:$G$37003,'Accounting data'!$H$2:$H$37003,"12*",'Accounting data'!$I$2:$I$37003,"8*",'Accounting data'!$J$2:$J$37003,"2*",'Accounting data'!$K$2:$K$37003,"69*")+SUMIFS('Accounting data'!$G$2:$G$37003,'Accounting data'!$H$2:$H$37003,"13*",'Accounting data'!$I$2:$I$37003,"8*",'Accounting data'!$J$2:$J$37003,"2*",'Accounting data'!$K$2:$K$37003,"69*")</f>
        <v>0</v>
      </c>
    </row>
    <row r="1384" spans="1:5" x14ac:dyDescent="0.25">
      <c r="A1384" s="558" t="s">
        <v>1026</v>
      </c>
      <c r="B1384" s="558">
        <v>900</v>
      </c>
      <c r="C1384" s="565">
        <v>2000</v>
      </c>
      <c r="D1384" s="556">
        <v>6900</v>
      </c>
      <c r="E1384" s="557">
        <f>SUMIFS('Accounting data'!$G$2:$G$37003,'Accounting data'!$H$2:$H$37003,"11*",'Accounting data'!$I$2:$I$37003,"9*",'Accounting data'!$J$2:$J$37003,"2*",'Accounting data'!$K$2:$K$37003,"69*")+SUMIFS('Accounting data'!$G$2:$G$37003,'Accounting data'!$H$2:$H$37003,"12*",'Accounting data'!$I$2:$I$37003,"9*",'Accounting data'!$J$2:$J$37003,"2*",'Accounting data'!$K$2:$K$37003,"69*")+SUMIFS('Accounting data'!$G$2:$G$37003,'Accounting data'!$H$2:$H$37003,"13*",'Accounting data'!$I$2:$I$37003,"9*",'Accounting data'!$J$2:$J$37003,"2*",'Accounting data'!$K$2:$K$37003,"69*")</f>
        <v>0</v>
      </c>
    </row>
    <row r="1385" spans="1:5" x14ac:dyDescent="0.25">
      <c r="A1385" s="558" t="s">
        <v>1026</v>
      </c>
      <c r="B1385" s="558">
        <v>700</v>
      </c>
      <c r="C1385" s="565">
        <v>3000</v>
      </c>
      <c r="D1385" s="556">
        <v>6900</v>
      </c>
      <c r="E1385" s="557">
        <f>SUMIFS('Accounting data'!$G$2:$G$37003,'Accounting data'!$H$2:$H$37003,"11*",'Accounting data'!$I$2:$I$37003,"7*",'Accounting data'!$J$2:$J$37003,"3*",'Accounting data'!$K$2:$K$37003,"69*")+SUMIFS('Accounting data'!$G$2:$G$37003,'Accounting data'!$H$2:$H$37003,"12*",'Accounting data'!$I$2:$I$37003,"7*",'Accounting data'!$J$2:$J$37003,"3*",'Accounting data'!$K$2:$K$37003,"69*")+SUMIFS('Accounting data'!$G$2:$G$37003,'Accounting data'!$H$2:$H$37003,"13*",'Accounting data'!$I$2:$I$37003,"7*",'Accounting data'!$J$2:$J$37003,"3*",'Accounting data'!$K$2:$K$37003,"69*")</f>
        <v>0</v>
      </c>
    </row>
    <row r="1386" spans="1:5" x14ac:dyDescent="0.25">
      <c r="A1386" s="558" t="s">
        <v>1026</v>
      </c>
      <c r="B1386" s="558">
        <v>800</v>
      </c>
      <c r="C1386" s="565">
        <v>3000</v>
      </c>
      <c r="D1386" s="556">
        <v>6900</v>
      </c>
      <c r="E1386" s="557">
        <f>SUMIFS('Accounting data'!$G$2:$G$37003,'Accounting data'!$H$2:$H$37003,"11*",'Accounting data'!$I$2:$I$37003,"8*",'Accounting data'!$J$2:$J$37003,"3*",'Accounting data'!$K$2:$K$37003,"69*")+SUMIFS('Accounting data'!$G$2:$G$37003,'Accounting data'!$H$2:$H$37003,"12*",'Accounting data'!$I$2:$I$37003,"8*",'Accounting data'!$J$2:$J$37003,"3*",'Accounting data'!$K$2:$K$37003,"69*")+SUMIFS('Accounting data'!$G$2:$G$37003,'Accounting data'!$H$2:$H$37003,"13*",'Accounting data'!$I$2:$I$37003,"8*",'Accounting data'!$J$2:$J$37003,"3*",'Accounting data'!$K$2:$K$37003,"69*")</f>
        <v>0</v>
      </c>
    </row>
    <row r="1387" spans="1:5" x14ac:dyDescent="0.25">
      <c r="A1387" s="558" t="s">
        <v>1026</v>
      </c>
      <c r="B1387" s="558">
        <v>900</v>
      </c>
      <c r="C1387" s="565">
        <v>3000</v>
      </c>
      <c r="D1387" s="556">
        <v>6900</v>
      </c>
      <c r="E1387" s="557">
        <f>SUMIFS('Accounting data'!$G$2:$G$37003,'Accounting data'!$H$2:$H$37003,"11*",'Accounting data'!$I$2:$I$37003,"9*",'Accounting data'!$J$2:$J$37003,"3*",'Accounting data'!$K$2:$K$37003,"69*")+SUMIFS('Accounting data'!$G$2:$G$37003,'Accounting data'!$H$2:$H$37003,"12*",'Accounting data'!$I$2:$I$37003,"9*",'Accounting data'!$J$2:$J$37003,"3*",'Accounting data'!$K$2:$K$37003,"69*")+SUMIFS('Accounting data'!$G$2:$G$37003,'Accounting data'!$H$2:$H$37003,"13*",'Accounting data'!$I$2:$I$37003,"9*",'Accounting data'!$J$2:$J$37003,"3*",'Accounting data'!$K$2:$K$37003,"69*")</f>
        <v>0</v>
      </c>
    </row>
    <row r="1388" spans="1:5" x14ac:dyDescent="0.25">
      <c r="A1388" s="559" t="s">
        <v>1121</v>
      </c>
      <c r="B1388" s="559"/>
      <c r="C1388" s="559"/>
      <c r="D1388" s="559"/>
      <c r="E1388" s="561">
        <f>(E1370+E1371+E1372+E1373+E1374+E1375+E1376+E1377+E1378)-(E1379+E1380+E1381+E1382+E1383+E1384+E1385+E1386+E1387)</f>
        <v>0</v>
      </c>
    </row>
    <row r="1389" spans="1:5" x14ac:dyDescent="0.25">
      <c r="A1389" s="569"/>
      <c r="B1389" s="569"/>
      <c r="C1389" s="569"/>
      <c r="D1389" s="569"/>
      <c r="E1389" s="570"/>
    </row>
    <row r="1390" spans="1:5" x14ac:dyDescent="0.25">
      <c r="A1390" s="569"/>
      <c r="B1390" s="569"/>
      <c r="C1390" s="569"/>
      <c r="D1390" s="569"/>
      <c r="E1390" s="570"/>
    </row>
    <row r="1391" spans="1:5" x14ac:dyDescent="0.25">
      <c r="A1391" s="569"/>
      <c r="B1391" s="569"/>
      <c r="C1391" s="569"/>
      <c r="D1391" s="569"/>
      <c r="E1391" s="570"/>
    </row>
    <row r="1392" spans="1:5" x14ac:dyDescent="0.25">
      <c r="A1392" s="569"/>
      <c r="B1392" s="569"/>
      <c r="C1392" s="569"/>
      <c r="D1392" s="569"/>
      <c r="E1392" s="570"/>
    </row>
    <row r="1393" spans="1:5" x14ac:dyDescent="0.25">
      <c r="A1393" s="569"/>
      <c r="B1393" s="569"/>
      <c r="C1393" s="569"/>
      <c r="D1393" s="571"/>
      <c r="E1393" s="570"/>
    </row>
    <row r="1394" spans="1:5" x14ac:dyDescent="0.25">
      <c r="A1394" s="569"/>
      <c r="B1394" s="569"/>
      <c r="C1394" s="569"/>
      <c r="D1394" s="569"/>
      <c r="E1394" s="570"/>
    </row>
    <row r="1395" spans="1:5" x14ac:dyDescent="0.25">
      <c r="A1395" s="569"/>
      <c r="B1395" s="569"/>
      <c r="C1395" s="569"/>
      <c r="D1395" s="569"/>
      <c r="E1395" s="570"/>
    </row>
    <row r="1396" spans="1:5" x14ac:dyDescent="0.25">
      <c r="A1396" s="569"/>
      <c r="B1396" s="569"/>
      <c r="C1396" s="569"/>
      <c r="D1396" s="569"/>
      <c r="E1396" s="570"/>
    </row>
    <row r="1397" spans="1:5" x14ac:dyDescent="0.25">
      <c r="A1397" s="569"/>
      <c r="B1397" s="569"/>
      <c r="C1397" s="569"/>
      <c r="D1397" s="569"/>
      <c r="E1397" s="570"/>
    </row>
    <row r="1398" spans="1:5" x14ac:dyDescent="0.25">
      <c r="A1398" s="569"/>
      <c r="B1398" s="569"/>
      <c r="C1398" s="569"/>
      <c r="D1398" s="569"/>
      <c r="E1398" s="570"/>
    </row>
    <row r="1399" spans="1:5" x14ac:dyDescent="0.25">
      <c r="A1399" s="569"/>
      <c r="B1399" s="569"/>
      <c r="C1399" s="569"/>
      <c r="D1399" s="572"/>
      <c r="E1399" s="570"/>
    </row>
    <row r="1400" spans="1:5" x14ac:dyDescent="0.25">
      <c r="A1400" s="569"/>
      <c r="B1400" s="569"/>
      <c r="C1400" s="569"/>
      <c r="D1400" s="569"/>
      <c r="E1400" s="570"/>
    </row>
    <row r="1401" spans="1:5" x14ac:dyDescent="0.25">
      <c r="A1401" s="569"/>
      <c r="B1401" s="569"/>
      <c r="C1401" s="569"/>
      <c r="D1401" s="569"/>
      <c r="E1401" s="570"/>
    </row>
    <row r="1402" spans="1:5" x14ac:dyDescent="0.25">
      <c r="A1402" s="569"/>
      <c r="B1402" s="569"/>
      <c r="C1402" s="569"/>
      <c r="D1402" s="569"/>
      <c r="E1402" s="570"/>
    </row>
    <row r="1403" spans="1:5" x14ac:dyDescent="0.25">
      <c r="A1403" s="569"/>
      <c r="B1403" s="569"/>
      <c r="C1403" s="569"/>
      <c r="D1403" s="569"/>
      <c r="E1403" s="570"/>
    </row>
    <row r="1404" spans="1:5" x14ac:dyDescent="0.25">
      <c r="A1404" s="569"/>
      <c r="B1404" s="569"/>
      <c r="C1404" s="569"/>
      <c r="D1404" s="569"/>
      <c r="E1404" s="570"/>
    </row>
    <row r="1405" spans="1:5" x14ac:dyDescent="0.25">
      <c r="A1405" s="569"/>
      <c r="B1405" s="569"/>
      <c r="C1405" s="569"/>
      <c r="D1405" s="572"/>
      <c r="E1405" s="570"/>
    </row>
    <row r="1406" spans="1:5" x14ac:dyDescent="0.25">
      <c r="A1406" s="569"/>
      <c r="B1406" s="569"/>
      <c r="C1406" s="569"/>
      <c r="D1406" s="569"/>
      <c r="E1406" s="570"/>
    </row>
    <row r="1407" spans="1:5" x14ac:dyDescent="0.25">
      <c r="A1407" s="569"/>
      <c r="B1407" s="569"/>
      <c r="C1407" s="569"/>
      <c r="D1407" s="569"/>
      <c r="E1407" s="570"/>
    </row>
    <row r="1408" spans="1:5" x14ac:dyDescent="0.25">
      <c r="A1408" s="569"/>
      <c r="B1408" s="569"/>
      <c r="C1408" s="569"/>
      <c r="D1408" s="569"/>
      <c r="E1408" s="570"/>
    </row>
    <row r="1409" spans="1:5" x14ac:dyDescent="0.25">
      <c r="A1409" s="569"/>
      <c r="B1409" s="569"/>
      <c r="C1409" s="569"/>
      <c r="D1409" s="569"/>
      <c r="E1409" s="570"/>
    </row>
    <row r="1410" spans="1:5" x14ac:dyDescent="0.25">
      <c r="A1410" s="569"/>
      <c r="B1410" s="569"/>
      <c r="C1410" s="569"/>
      <c r="D1410" s="569"/>
      <c r="E1410" s="570"/>
    </row>
    <row r="1411" spans="1:5" x14ac:dyDescent="0.25">
      <c r="A1411" s="569"/>
      <c r="B1411" s="569"/>
      <c r="C1411" s="569"/>
      <c r="D1411" s="572"/>
      <c r="E1411" s="570"/>
    </row>
    <row r="1412" spans="1:5" x14ac:dyDescent="0.25">
      <c r="A1412" s="569"/>
      <c r="B1412" s="569"/>
      <c r="C1412" s="569"/>
      <c r="D1412" s="569"/>
      <c r="E1412" s="570"/>
    </row>
    <row r="1413" spans="1:5" x14ac:dyDescent="0.25">
      <c r="A1413" s="569"/>
      <c r="B1413" s="569"/>
      <c r="C1413" s="569"/>
      <c r="D1413" s="569"/>
      <c r="E1413" s="570"/>
    </row>
    <row r="1414" spans="1:5" x14ac:dyDescent="0.25">
      <c r="A1414" s="569"/>
      <c r="B1414" s="569"/>
      <c r="C1414" s="569"/>
      <c r="D1414" s="569"/>
      <c r="E1414" s="570"/>
    </row>
    <row r="1415" spans="1:5" x14ac:dyDescent="0.25">
      <c r="A1415" s="569"/>
      <c r="B1415" s="569"/>
      <c r="C1415" s="569"/>
      <c r="D1415" s="569"/>
      <c r="E1415" s="570"/>
    </row>
    <row r="1416" spans="1:5" x14ac:dyDescent="0.25">
      <c r="A1416" s="569"/>
      <c r="B1416" s="569"/>
      <c r="C1416" s="569"/>
      <c r="D1416" s="569"/>
      <c r="E1416" s="570"/>
    </row>
    <row r="1417" spans="1:5" x14ac:dyDescent="0.25">
      <c r="A1417" s="569"/>
      <c r="B1417" s="569"/>
      <c r="C1417" s="569"/>
      <c r="D1417" s="572"/>
      <c r="E1417" s="570"/>
    </row>
    <row r="1418" spans="1:5" x14ac:dyDescent="0.25">
      <c r="A1418" s="569"/>
      <c r="B1418" s="569"/>
      <c r="C1418" s="569"/>
      <c r="D1418" s="572"/>
      <c r="E1418" s="570"/>
    </row>
    <row r="1419" spans="1:5" x14ac:dyDescent="0.25">
      <c r="A1419" s="569"/>
      <c r="B1419" s="569"/>
      <c r="C1419" s="569"/>
      <c r="D1419" s="572"/>
      <c r="E1419" s="570"/>
    </row>
    <row r="1420" spans="1:5" x14ac:dyDescent="0.25">
      <c r="A1420" s="569"/>
      <c r="B1420" s="569"/>
      <c r="C1420" s="569"/>
      <c r="D1420" s="569"/>
      <c r="E1420" s="570"/>
    </row>
    <row r="1421" spans="1:5" x14ac:dyDescent="0.25">
      <c r="A1421" s="569"/>
      <c r="B1421" s="569"/>
      <c r="C1421" s="569"/>
      <c r="D1421" s="569"/>
      <c r="E1421" s="570"/>
    </row>
    <row r="1422" spans="1:5" x14ac:dyDescent="0.25">
      <c r="A1422" s="569"/>
      <c r="B1422" s="569"/>
      <c r="C1422" s="569"/>
      <c r="D1422" s="569"/>
      <c r="E1422" s="570"/>
    </row>
    <row r="1423" spans="1:5" x14ac:dyDescent="0.25">
      <c r="A1423" s="569"/>
      <c r="B1423" s="569"/>
      <c r="C1423" s="569"/>
      <c r="D1423" s="572"/>
      <c r="E1423" s="570"/>
    </row>
    <row r="1424" spans="1:5" x14ac:dyDescent="0.25">
      <c r="A1424" s="569"/>
      <c r="B1424" s="569"/>
      <c r="C1424" s="569"/>
      <c r="D1424" s="569"/>
      <c r="E1424" s="570"/>
    </row>
    <row r="1425" spans="1:5" x14ac:dyDescent="0.25">
      <c r="A1425" s="569"/>
      <c r="B1425" s="569"/>
      <c r="C1425" s="572"/>
      <c r="D1425" s="572"/>
      <c r="E1425" s="570"/>
    </row>
    <row r="1426" spans="1:5" x14ac:dyDescent="0.25">
      <c r="A1426" s="569"/>
      <c r="B1426" s="569"/>
      <c r="C1426" s="569"/>
      <c r="D1426" s="572"/>
      <c r="E1426" s="570"/>
    </row>
    <row r="1427" spans="1:5" x14ac:dyDescent="0.25">
      <c r="A1427" s="569"/>
      <c r="B1427" s="569"/>
      <c r="C1427" s="572"/>
      <c r="D1427" s="572"/>
      <c r="E1427" s="570"/>
    </row>
    <row r="1428" spans="1:5" x14ac:dyDescent="0.25">
      <c r="A1428" s="569"/>
      <c r="B1428" s="569"/>
      <c r="C1428" s="569"/>
      <c r="D1428" s="572"/>
      <c r="E1428" s="570"/>
    </row>
    <row r="1429" spans="1:5" x14ac:dyDescent="0.25">
      <c r="A1429" s="569"/>
      <c r="B1429" s="569"/>
      <c r="C1429" s="572"/>
      <c r="D1429" s="572"/>
      <c r="E1429" s="570"/>
    </row>
    <row r="1430" spans="1:5" x14ac:dyDescent="0.25">
      <c r="A1430" s="569"/>
      <c r="B1430" s="569"/>
      <c r="C1430" s="572"/>
      <c r="D1430" s="569"/>
      <c r="E1430" s="570"/>
    </row>
    <row r="1431" spans="1:5" x14ac:dyDescent="0.25">
      <c r="A1431" s="569"/>
      <c r="B1431" s="569"/>
      <c r="C1431" s="572"/>
      <c r="D1431" s="569"/>
      <c r="E1431" s="570"/>
    </row>
    <row r="1432" spans="1:5" x14ac:dyDescent="0.25">
      <c r="A1432" s="569"/>
      <c r="B1432" s="569"/>
      <c r="C1432" s="569"/>
      <c r="D1432" s="572"/>
      <c r="E1432" s="570"/>
    </row>
    <row r="1433" spans="1:5" x14ac:dyDescent="0.25">
      <c r="A1433" s="569"/>
      <c r="B1433" s="569"/>
      <c r="C1433" s="569"/>
      <c r="D1433" s="572"/>
      <c r="E1433" s="570"/>
    </row>
    <row r="1434" spans="1:5" x14ac:dyDescent="0.25">
      <c r="A1434" s="569"/>
      <c r="B1434" s="569"/>
      <c r="C1434" s="569"/>
      <c r="D1434" s="572"/>
      <c r="E1434" s="570"/>
    </row>
    <row r="1435" spans="1:5" x14ac:dyDescent="0.25">
      <c r="A1435" s="569"/>
      <c r="B1435" s="569"/>
      <c r="C1435" s="569"/>
      <c r="D1435" s="572"/>
      <c r="E1435" s="570"/>
    </row>
    <row r="1436" spans="1:5" x14ac:dyDescent="0.25">
      <c r="A1436" s="559"/>
      <c r="B1436" s="559"/>
      <c r="C1436" s="559"/>
      <c r="D1436" s="573"/>
      <c r="E1436" s="561"/>
    </row>
    <row r="1437" spans="1:5" x14ac:dyDescent="0.25">
      <c r="A1437" s="556" t="s">
        <v>1122</v>
      </c>
      <c r="B1437" s="556" t="s">
        <v>1010</v>
      </c>
      <c r="C1437" s="556" t="s">
        <v>1010</v>
      </c>
      <c r="D1437" s="556">
        <v>6000</v>
      </c>
      <c r="E1437" s="557">
        <f>SUMIFS('Accounting data'!$G$2:$G$37003,'Accounting data'!$H$2:$H$37003,"9*",'Accounting data'!$K$2:$K$37003,"6*")+SUMIFS('Accounting data'!$G$2:$G$37003,'Accounting data'!$H$2:$H$37003,"9*",'Accounting data'!$K$2:$K$37003,"6*")+SUMIFS('Accounting data'!$G$2:$G$37003,'Accounting data'!$H$2:$H$37003,"9*",'Accounting data'!$K$2:$K$37003,"6*")+SUMIFS('Accounting data'!$G$2:$G$37003,'Accounting data'!$H$2:$H$37003,"9*",'Accounting data'!$K$2:$K$37003,"6*")+SUMIFS('Accounting data'!$G$2:$G$37003,'Accounting data'!$H$2:$H$37003,"9*",'Accounting data'!$K$2:$K$37003,"6*")</f>
        <v>0</v>
      </c>
    </row>
    <row r="1438" spans="1:5" x14ac:dyDescent="0.25">
      <c r="A1438" s="559" t="s">
        <v>1123</v>
      </c>
      <c r="B1438" s="559"/>
      <c r="C1438" s="559"/>
      <c r="D1438" s="559"/>
      <c r="E1438" s="561">
        <f>E1437</f>
        <v>0</v>
      </c>
    </row>
    <row r="1439" spans="1:5" x14ac:dyDescent="0.25">
      <c r="A1439" s="556"/>
      <c r="B1439" s="556"/>
      <c r="C1439" s="556"/>
      <c r="D1439" s="565"/>
      <c r="E1439" s="557"/>
    </row>
    <row r="1440" spans="1:5" x14ac:dyDescent="0.25">
      <c r="A1440" s="556"/>
      <c r="B1440" s="556"/>
      <c r="C1440" s="556"/>
      <c r="D1440" s="565"/>
      <c r="E1440" s="557"/>
    </row>
    <row r="1441" spans="1:5" x14ac:dyDescent="0.25">
      <c r="A1441" s="574"/>
      <c r="B1441" s="574"/>
      <c r="C1441" s="574"/>
      <c r="D1441" s="574"/>
      <c r="E1441" s="575"/>
    </row>
    <row r="1442" spans="1:5" x14ac:dyDescent="0.25">
      <c r="A1442" s="556"/>
      <c r="B1442" s="556"/>
      <c r="C1442" s="556"/>
      <c r="D1442" s="565"/>
      <c r="E1442" s="556"/>
    </row>
    <row r="1443" spans="1:5" x14ac:dyDescent="0.25">
      <c r="A1443" s="556"/>
      <c r="B1443" s="556"/>
      <c r="C1443" s="556"/>
      <c r="D1443" s="565"/>
      <c r="E1443" s="556"/>
    </row>
    <row r="1444" spans="1:5" x14ac:dyDescent="0.25">
      <c r="A1444" s="574"/>
      <c r="B1444" s="574"/>
      <c r="C1444" s="574"/>
      <c r="D1444" s="574"/>
      <c r="E1444" s="574"/>
    </row>
    <row r="1445" spans="1:5" x14ac:dyDescent="0.25">
      <c r="A1445" s="556" t="s">
        <v>1010</v>
      </c>
      <c r="B1445" s="556" t="s">
        <v>1010</v>
      </c>
      <c r="C1445" s="556">
        <v>5000</v>
      </c>
      <c r="D1445" s="556">
        <v>6850</v>
      </c>
      <c r="E1445" s="557">
        <f>SUMIFS('Accounting data'!$G$2:$G$37003,'Accounting data'!$J$2:$J$37003,"5*",'Accounting data'!$K$2:$K$37003,"685*")</f>
        <v>0</v>
      </c>
    </row>
    <row r="1446" spans="1:5" x14ac:dyDescent="0.25">
      <c r="A1446" s="556" t="s">
        <v>1011</v>
      </c>
      <c r="B1446" s="556" t="s">
        <v>1010</v>
      </c>
      <c r="C1446" s="556">
        <v>5000</v>
      </c>
      <c r="D1446" s="556">
        <v>6850</v>
      </c>
      <c r="E1446" s="557">
        <f>SUMIFS('Accounting data'!$G$2:$G$37003,'Accounting data'!$H$2:$H$37003,"9999*",'Accounting data'!$J$2:$J$37003,"5*",'Accounting data'!$K$2:$K$37003,"685*")</f>
        <v>0</v>
      </c>
    </row>
    <row r="1447" spans="1:5" x14ac:dyDescent="0.25">
      <c r="A1447" s="556" t="s">
        <v>1010</v>
      </c>
      <c r="B1447" s="556" t="s">
        <v>1012</v>
      </c>
      <c r="C1447" s="556">
        <v>5000</v>
      </c>
      <c r="D1447" s="556">
        <v>6850</v>
      </c>
      <c r="E1447" s="557">
        <f>SUMIFS('Accounting data'!$G$2:$G$37003,'Accounting data'!$I$2:$I$37003,"7*",'Accounting data'!$J$2:$J$37003,"5*",'Accounting data'!$K$2:$K$37003,"685*")+SUMIFS('Accounting data'!$G$2:$G$37003,'Accounting data'!$I$2:$I$37003,"8*",'Accounting data'!$J$2:$J$37003,"5*",'Accounting data'!$K$2:$K$37003,"685*")+SUMIFS('Accounting data'!$G$2:$G$37003,'Accounting data'!$I$2:$I$37003,"9*",'Accounting data'!$J$2:$J$37003,"5*",'Accounting data'!$K$2:$K$37003,"685*")</f>
        <v>0</v>
      </c>
    </row>
    <row r="1448" spans="1:5" x14ac:dyDescent="0.25">
      <c r="A1448" s="558" t="s">
        <v>1011</v>
      </c>
      <c r="B1448" s="556" t="s">
        <v>1012</v>
      </c>
      <c r="C1448" s="556">
        <v>5000</v>
      </c>
      <c r="D1448" s="556">
        <v>6850</v>
      </c>
      <c r="E1448" s="557">
        <f>SUMIFS('Accounting data'!$G$2:$G$37003,'Accounting data'!$H$2:$H$37003,"9999*",'Accounting data'!$I$2:$I$37003,"7*",'Accounting data'!$J$2:$J$37003,"5*",'Accounting data'!$K$2:$K$37003,"685*")+SUMIFS('Accounting data'!$G$2:$G$37003,'Accounting data'!$H$2:$H$37003,"9999*",'Accounting data'!$I$2:$I$37003,"8*",'Accounting data'!$J$2:$J$37003,"5*",'Accounting data'!$K$2:$K$37003,"685*")+SUMIFS('Accounting data'!$G$2:$G$37003,'Accounting data'!$H$2:$H$37003,"9999*",'Accounting data'!$I$2:$I$37003,"9*",'Accounting data'!$J$2:$J$37003,"5*",'Accounting data'!$K$2:$K$37003,"685*")</f>
        <v>0</v>
      </c>
    </row>
    <row r="1449" spans="1:5" ht="14.4" x14ac:dyDescent="0.3">
      <c r="A1449" s="559" t="s">
        <v>1124</v>
      </c>
      <c r="B1449" s="559"/>
      <c r="C1449" s="559"/>
      <c r="D1449" s="559"/>
      <c r="E1449" s="560">
        <f>(E1445-E1446-E1447)+E1448</f>
        <v>0</v>
      </c>
    </row>
    <row r="1450" spans="1:5" x14ac:dyDescent="0.25">
      <c r="A1450" s="556" t="s">
        <v>1010</v>
      </c>
      <c r="B1450" s="556" t="s">
        <v>1010</v>
      </c>
      <c r="C1450" s="556">
        <v>1000</v>
      </c>
      <c r="D1450" s="556">
        <v>6800</v>
      </c>
      <c r="E1450" s="557">
        <f t="array" ref="E1450">SUMIFS('Accounting data'!$G$2:$G$37003,'Accounting data'!$J$2:$J$37003,"1*",'Accounting data'!$K$2:$K$37003,"68*")</f>
        <v>1200</v>
      </c>
    </row>
    <row r="1451" spans="1:5" x14ac:dyDescent="0.25">
      <c r="A1451" s="556" t="s">
        <v>1011</v>
      </c>
      <c r="B1451" s="556" t="s">
        <v>1010</v>
      </c>
      <c r="C1451" s="556">
        <v>1000</v>
      </c>
      <c r="D1451" s="556">
        <v>6800</v>
      </c>
      <c r="E1451" s="557">
        <f t="array" ref="E1451">SUMIFS('Accounting data'!$G$2:$G$37003,'Accounting data'!$H$2:$H$37003,"9999*",'Accounting data'!$J$2:$J$37003,"1*",'Accounting data'!$K$2:$K$37003,"68*")</f>
        <v>0</v>
      </c>
    </row>
    <row r="1452" spans="1:5" x14ac:dyDescent="0.25">
      <c r="A1452" s="556" t="s">
        <v>1010</v>
      </c>
      <c r="B1452" s="556" t="s">
        <v>1012</v>
      </c>
      <c r="C1452" s="556">
        <v>1000</v>
      </c>
      <c r="D1452" s="556">
        <v>6800</v>
      </c>
      <c r="E1452" s="557">
        <f t="array" ref="E1452">SUMIFS('Accounting data'!$G$2:$G$37003,'Accounting data'!$I$2:$I$37003,"7*",'Accounting data'!$J$2:$J$37003,"1*",'Accounting data'!$K$2:$K$37003,"68*")+SUMIFS('Accounting data'!$G$2:$G$37003,'Accounting data'!$I$2:$I$37003,"8*",'Accounting data'!$J$2:$J$37003,"1*",'Accounting data'!$K$2:$K$37003,"68*")+SUMIFS('Accounting data'!$G$2:$G$37003,'Accounting data'!$I$2:$I$37003,"9*",'Accounting data'!$J$2:$J$37003,"1*",'Accounting data'!$K$2:$K$37003,"68*")</f>
        <v>0</v>
      </c>
    </row>
    <row r="1453" spans="1:5" x14ac:dyDescent="0.25">
      <c r="A1453" s="558" t="s">
        <v>1011</v>
      </c>
      <c r="B1453" s="556" t="s">
        <v>1012</v>
      </c>
      <c r="C1453" s="556">
        <v>1000</v>
      </c>
      <c r="D1453" s="556">
        <v>6800</v>
      </c>
      <c r="E1453" s="557">
        <f t="array" ref="E1453">SUMIFS('Accounting data'!$G$2:$G$37003,'Accounting data'!$H$2:$H$37003,"9999*",'Accounting data'!$I$2:$I$37003,"7*",'Accounting data'!$J$2:$J$37003,"1*",'Accounting data'!$K$2:$K$37003,"68*")+SUMIFS('Accounting data'!$G$2:$G$37003,'Accounting data'!$H$2:$H$37003,"9999*",'Accounting data'!$I$2:$I$37003,"8*",'Accounting data'!$J$2:$J$37003,"1*",'Accounting data'!$K$2:$K$37003,"68*")+SUMIFS('Accounting data'!$G$2:$G$37003,'Accounting data'!$H$2:$H$37003,"9999*",'Accounting data'!$I$2:$I$37003,"9*",'Accounting data'!$J$2:$J$37003,"1*",'Accounting data'!$K$2:$K$37003,"68*")</f>
        <v>0</v>
      </c>
    </row>
    <row r="1454" spans="1:5" ht="14.4" x14ac:dyDescent="0.3">
      <c r="A1454" s="559" t="s">
        <v>1125</v>
      </c>
      <c r="B1454" s="559"/>
      <c r="C1454" s="559"/>
      <c r="D1454" s="559"/>
      <c r="E1454" s="560">
        <f>(E1450-E1451-E1452)+E1453</f>
        <v>1200</v>
      </c>
    </row>
    <row r="1455" spans="1:5" x14ac:dyDescent="0.25">
      <c r="A1455" s="556" t="s">
        <v>1010</v>
      </c>
      <c r="B1455" s="556" t="s">
        <v>1010</v>
      </c>
      <c r="C1455" s="556">
        <v>2100</v>
      </c>
      <c r="D1455" s="556">
        <v>6800</v>
      </c>
      <c r="E1455" s="557">
        <f t="array" ref="E1455">SUMIFS('Accounting data'!$G$2:$G$37003,'Accounting data'!$J$2:$J$37003,"21*",'Accounting data'!$K$2:$K$37003,"68*")</f>
        <v>0</v>
      </c>
    </row>
    <row r="1456" spans="1:5" x14ac:dyDescent="0.25">
      <c r="A1456" s="556" t="s">
        <v>1011</v>
      </c>
      <c r="B1456" s="556" t="s">
        <v>1010</v>
      </c>
      <c r="C1456" s="556">
        <v>2100</v>
      </c>
      <c r="D1456" s="556">
        <v>6800</v>
      </c>
      <c r="E1456" s="557">
        <f t="array" ref="E1456">SUMIFS('Accounting data'!$G$2:$G$37003,'Accounting data'!$H$2:$H$37003,"9999*",'Accounting data'!$J$2:$J$37003,"21*",'Accounting data'!$K$2:$K$37003,"68*")</f>
        <v>0</v>
      </c>
    </row>
    <row r="1457" spans="1:5" x14ac:dyDescent="0.25">
      <c r="A1457" s="556" t="s">
        <v>1010</v>
      </c>
      <c r="B1457" s="556" t="s">
        <v>1012</v>
      </c>
      <c r="C1457" s="556">
        <v>2100</v>
      </c>
      <c r="D1457" s="556">
        <v>6800</v>
      </c>
      <c r="E1457" s="557">
        <f t="array" ref="E1457">SUMIFS('Accounting data'!$G$2:$G$37003,'Accounting data'!$I$2:$I$37003,"7*",'Accounting data'!$J$2:$J$37003,"21*",'Accounting data'!$K$2:$K$37003,"68*")+SUMIFS('Accounting data'!$G$2:$G$37003,'Accounting data'!$I$2:$I$37003,"8*",'Accounting data'!$J$2:$J$37003,"21*",'Accounting data'!$K$2:$K$37003,"68*")+SUMIFS('Accounting data'!$G$2:$G$37003,'Accounting data'!$I$2:$I$37003,"9*",'Accounting data'!$J$2:$J$37003,"21*",'Accounting data'!$K$2:$K$37003,"68*")</f>
        <v>0</v>
      </c>
    </row>
    <row r="1458" spans="1:5" x14ac:dyDescent="0.25">
      <c r="A1458" s="558" t="s">
        <v>1011</v>
      </c>
      <c r="B1458" s="556" t="s">
        <v>1012</v>
      </c>
      <c r="C1458" s="556">
        <v>2100</v>
      </c>
      <c r="D1458" s="556">
        <v>6800</v>
      </c>
      <c r="E1458" s="557">
        <f t="array" ref="E1458">SUMIFS('Accounting data'!$G$2:$G$37003,'Accounting data'!$H$2:$H$37003,"9999*",'Accounting data'!$I$2:$I$37003,"7*",'Accounting data'!$J$2:$J$37003,"21*",'Accounting data'!$K$2:$K$37003,"68*")+SUMIFS('Accounting data'!$G$2:$G$37003,'Accounting data'!$H$2:$H$37003,"9999*",'Accounting data'!$I$2:$I$37003,"8*",'Accounting data'!$J$2:$J$37003,"21*",'Accounting data'!$K$2:$K$37003,"68*")+SUMIFS('Accounting data'!$G$2:$G$37003,'Accounting data'!$H$2:$H$37003,"9999*",'Accounting data'!$I$2:$I$37003,"9*",'Accounting data'!$J$2:$J$37003,"21*",'Accounting data'!$K$2:$K$37003,"68*")</f>
        <v>0</v>
      </c>
    </row>
    <row r="1459" spans="1:5" ht="14.4" x14ac:dyDescent="0.3">
      <c r="A1459" s="559" t="s">
        <v>1126</v>
      </c>
      <c r="B1459" s="559"/>
      <c r="C1459" s="559"/>
      <c r="D1459" s="559"/>
      <c r="E1459" s="560">
        <f>(E1455-E1456-E1457)+E1458</f>
        <v>0</v>
      </c>
    </row>
    <row r="1460" spans="1:5" x14ac:dyDescent="0.25">
      <c r="A1460" s="556" t="s">
        <v>1010</v>
      </c>
      <c r="B1460" s="556" t="s">
        <v>1010</v>
      </c>
      <c r="C1460" s="556">
        <v>2200</v>
      </c>
      <c r="D1460" s="556">
        <v>6800</v>
      </c>
      <c r="E1460" s="557">
        <f t="array" ref="E1460">SUMIFS('Accounting data'!$G$2:$G$37003,'Accounting data'!$J$2:$J$37003,"22*",'Accounting data'!$K$2:$K$37003,"68*")</f>
        <v>0</v>
      </c>
    </row>
    <row r="1461" spans="1:5" x14ac:dyDescent="0.25">
      <c r="A1461" s="556" t="s">
        <v>1011</v>
      </c>
      <c r="B1461" s="556" t="s">
        <v>1010</v>
      </c>
      <c r="C1461" s="556">
        <v>2200</v>
      </c>
      <c r="D1461" s="556">
        <v>6800</v>
      </c>
      <c r="E1461" s="557">
        <f t="array" ref="E1461">SUMIFS('Accounting data'!$G$2:$G$37003,'Accounting data'!$H$2:$H$37003,"9999*",'Accounting data'!$J$2:$J$37003,"22*",'Accounting data'!$K$2:$K$37003,"68*")</f>
        <v>0</v>
      </c>
    </row>
    <row r="1462" spans="1:5" x14ac:dyDescent="0.25">
      <c r="A1462" s="556" t="s">
        <v>1010</v>
      </c>
      <c r="B1462" s="556" t="s">
        <v>1012</v>
      </c>
      <c r="C1462" s="556">
        <v>2200</v>
      </c>
      <c r="D1462" s="556">
        <v>6800</v>
      </c>
      <c r="E1462" s="557">
        <f t="array" ref="E1462">SUMIFS('Accounting data'!$G$2:$G$37003,'Accounting data'!$I$2:$I$37003,"7*",'Accounting data'!$J$2:$J$37003,"22*",'Accounting data'!$K$2:$K$37003,"68*")+SUMIFS('Accounting data'!$G$2:$G$37003,'Accounting data'!$I$2:$I$37003,"8*",'Accounting data'!$J$2:$J$37003,"22*",'Accounting data'!$K$2:$K$37003,"68*")+SUMIFS('Accounting data'!$G$2:$G$37003,'Accounting data'!$I$2:$I$37003,"9*",'Accounting data'!$J$2:$J$37003,"22*",'Accounting data'!$K$2:$K$37003,"68*")</f>
        <v>0</v>
      </c>
    </row>
    <row r="1463" spans="1:5" x14ac:dyDescent="0.25">
      <c r="A1463" s="558" t="s">
        <v>1011</v>
      </c>
      <c r="B1463" s="556" t="s">
        <v>1012</v>
      </c>
      <c r="C1463" s="556">
        <v>2200</v>
      </c>
      <c r="D1463" s="556">
        <v>6800</v>
      </c>
      <c r="E1463" s="557">
        <f t="array" ref="E1463">SUMIFS('Accounting data'!$G$2:$G$37003,'Accounting data'!$H$2:$H$37003,"9999*",'Accounting data'!$I$2:$I$37003,"7*",'Accounting data'!$J$2:$J$37003,"22*",'Accounting data'!$K$2:$K$37003,"68*")+SUMIFS('Accounting data'!$G$2:$G$37003,'Accounting data'!$H$2:$H$37003,"9999*",'Accounting data'!$I$2:$I$37003,"8*",'Accounting data'!$J$2:$J$37003,"22*",'Accounting data'!$K$2:$K$37003,"68*")+SUMIFS('Accounting data'!$G$2:$G$37003,'Accounting data'!$H$2:$H$37003,"9999*",'Accounting data'!$I$2:$I$37003,"9*",'Accounting data'!$J$2:$J$37003,"22*",'Accounting data'!$K$2:$K$37003,"68*")</f>
        <v>0</v>
      </c>
    </row>
    <row r="1464" spans="1:5" ht="14.4" x14ac:dyDescent="0.3">
      <c r="A1464" s="559" t="s">
        <v>1127</v>
      </c>
      <c r="B1464" s="559"/>
      <c r="C1464" s="559"/>
      <c r="D1464" s="559"/>
      <c r="E1464" s="560">
        <f>(E1460-E1461-E1462)+E1463</f>
        <v>0</v>
      </c>
    </row>
    <row r="1465" spans="1:5" x14ac:dyDescent="0.25">
      <c r="A1465" s="556" t="s">
        <v>1010</v>
      </c>
      <c r="B1465" s="556" t="s">
        <v>1010</v>
      </c>
      <c r="C1465" s="556">
        <v>2300</v>
      </c>
      <c r="D1465" s="556">
        <v>6800</v>
      </c>
      <c r="E1465" s="557">
        <f t="array" ref="E1465">SUMIFS('Accounting data'!$G$2:$G$37003,'Accounting data'!$J$2:$J$37003,"23*",'Accounting data'!$K$2:$K$37003,"68*")</f>
        <v>0</v>
      </c>
    </row>
    <row r="1466" spans="1:5" x14ac:dyDescent="0.25">
      <c r="A1466" s="556" t="s">
        <v>1011</v>
      </c>
      <c r="B1466" s="556" t="s">
        <v>1010</v>
      </c>
      <c r="C1466" s="556">
        <v>2300</v>
      </c>
      <c r="D1466" s="556">
        <v>6800</v>
      </c>
      <c r="E1466" s="557">
        <f t="array" ref="E1466">SUMIFS('Accounting data'!$G$2:$G$37003,'Accounting data'!$H$2:$H$37003,"9999*",'Accounting data'!$J$2:$J$37003,"23*",'Accounting data'!$K$2:$K$37003,"68*")</f>
        <v>0</v>
      </c>
    </row>
    <row r="1467" spans="1:5" x14ac:dyDescent="0.25">
      <c r="A1467" s="556" t="s">
        <v>1010</v>
      </c>
      <c r="B1467" s="556" t="s">
        <v>1012</v>
      </c>
      <c r="C1467" s="556">
        <v>2300</v>
      </c>
      <c r="D1467" s="556">
        <v>6800</v>
      </c>
      <c r="E1467" s="557">
        <f t="array" ref="E1467">SUMIFS('Accounting data'!$G$2:$G$37003,'Accounting data'!$I$2:$I$37003,"7*",'Accounting data'!$J$2:$J$37003,"23*",'Accounting data'!$K$2:$K$37003,"68*")+SUMIFS('Accounting data'!$G$2:$G$37003,'Accounting data'!$I$2:$I$37003,"8*",'Accounting data'!$J$2:$J$37003,"23*",'Accounting data'!$K$2:$K$37003,"68*")+SUMIFS('Accounting data'!$G$2:$G$37003,'Accounting data'!$I$2:$I$37003,"9*",'Accounting data'!$J$2:$J$37003,"23*",'Accounting data'!$K$2:$K$37003,"68*")</f>
        <v>0</v>
      </c>
    </row>
    <row r="1468" spans="1:5" x14ac:dyDescent="0.25">
      <c r="A1468" s="558" t="s">
        <v>1011</v>
      </c>
      <c r="B1468" s="556" t="s">
        <v>1012</v>
      </c>
      <c r="C1468" s="556">
        <v>2300</v>
      </c>
      <c r="D1468" s="556">
        <v>6800</v>
      </c>
      <c r="E1468" s="557">
        <f t="array" ref="E1468">SUMIFS('Accounting data'!$G$2:$G$37003,'Accounting data'!$H$2:$H$37003,"9999*",'Accounting data'!$I$2:$I$37003,"7*",'Accounting data'!$J$2:$J$37003,"23*",'Accounting data'!$K$2:$K$37003,"68*")+SUMIFS('Accounting data'!$G$2:$G$37003,'Accounting data'!$H$2:$H$37003,"9999*",'Accounting data'!$I$2:$I$37003,"8*",'Accounting data'!$J$2:$J$37003,"23*",'Accounting data'!$K$2:$K$37003,"68*")+SUMIFS('Accounting data'!$G$2:$G$37003,'Accounting data'!$H$2:$H$37003,"9999*",'Accounting data'!$I$2:$I$37003,"9*",'Accounting data'!$J$2:$J$37003,"23*",'Accounting data'!$K$2:$K$37003,"68*")</f>
        <v>0</v>
      </c>
    </row>
    <row r="1469" spans="1:5" ht="14.4" x14ac:dyDescent="0.3">
      <c r="A1469" s="559" t="s">
        <v>1128</v>
      </c>
      <c r="B1469" s="559"/>
      <c r="C1469" s="559"/>
      <c r="D1469" s="559"/>
      <c r="E1469" s="560">
        <f>(E1465-E1466-E1467)+E1468</f>
        <v>0</v>
      </c>
    </row>
    <row r="1470" spans="1:5" x14ac:dyDescent="0.25">
      <c r="A1470" s="556" t="s">
        <v>1010</v>
      </c>
      <c r="B1470" s="556" t="s">
        <v>1010</v>
      </c>
      <c r="C1470" s="556">
        <v>2400</v>
      </c>
      <c r="D1470" s="556">
        <v>6800</v>
      </c>
      <c r="E1470" s="557">
        <f t="array" ref="E1470">SUMIFS('Accounting data'!$G$2:$G$37003,'Accounting data'!$J$2:$J$37003,"24*",'Accounting data'!$K$2:$K$37003,"68*")</f>
        <v>0</v>
      </c>
    </row>
    <row r="1471" spans="1:5" x14ac:dyDescent="0.25">
      <c r="A1471" s="556" t="s">
        <v>1011</v>
      </c>
      <c r="B1471" s="556" t="s">
        <v>1010</v>
      </c>
      <c r="C1471" s="556">
        <v>2400</v>
      </c>
      <c r="D1471" s="556">
        <v>6800</v>
      </c>
      <c r="E1471" s="557">
        <f t="array" ref="E1471">SUMIFS('Accounting data'!$G$2:$G$37003,'Accounting data'!$H$2:$H$37003,"9999*",'Accounting data'!$J$2:$J$37003,"24*",'Accounting data'!$K$2:$K$37003,"68*")</f>
        <v>0</v>
      </c>
    </row>
    <row r="1472" spans="1:5" x14ac:dyDescent="0.25">
      <c r="A1472" s="556" t="s">
        <v>1010</v>
      </c>
      <c r="B1472" s="556" t="s">
        <v>1012</v>
      </c>
      <c r="C1472" s="556">
        <v>2400</v>
      </c>
      <c r="D1472" s="556">
        <v>6800</v>
      </c>
      <c r="E1472" s="557">
        <f t="array" ref="E1472">SUMIFS('Accounting data'!$G$2:$G$37003,'Accounting data'!$I$2:$I$37003,"7*",'Accounting data'!$J$2:$J$37003,"24*",'Accounting data'!$K$2:$K$37003,"68*")+SUMIFS('Accounting data'!$G$2:$G$37003,'Accounting data'!$I$2:$I$37003,"8*",'Accounting data'!$J$2:$J$37003,"24*",'Accounting data'!$K$2:$K$37003,"68*")+SUMIFS('Accounting data'!$G$2:$G$37003,'Accounting data'!$I$2:$I$37003,"9*",'Accounting data'!$J$2:$J$37003,"24*",'Accounting data'!$K$2:$K$37003,"68*")</f>
        <v>0</v>
      </c>
    </row>
    <row r="1473" spans="1:5" x14ac:dyDescent="0.25">
      <c r="A1473" s="558" t="s">
        <v>1011</v>
      </c>
      <c r="B1473" s="556" t="s">
        <v>1012</v>
      </c>
      <c r="C1473" s="556">
        <v>2400</v>
      </c>
      <c r="D1473" s="556">
        <v>6800</v>
      </c>
      <c r="E1473" s="557">
        <f t="array" ref="E1473">SUMIFS('Accounting data'!$G$2:$G$37003,'Accounting data'!$H$2:$H$37003,"9999*",'Accounting data'!$I$2:$I$37003,"7*",'Accounting data'!$J$2:$J$37003,"24*",'Accounting data'!$K$2:$K$37003,"68*")+SUMIFS('Accounting data'!$G$2:$G$37003,'Accounting data'!$H$2:$H$37003,"9999*",'Accounting data'!$I$2:$I$37003,"8*",'Accounting data'!$J$2:$J$37003,"24*",'Accounting data'!$K$2:$K$37003,"68*")+SUMIFS('Accounting data'!$G$2:$G$37003,'Accounting data'!$H$2:$H$37003,"9999*",'Accounting data'!$I$2:$I$37003,"9*",'Accounting data'!$J$2:$J$37003,"24*",'Accounting data'!$K$2:$K$37003,"68*")</f>
        <v>0</v>
      </c>
    </row>
    <row r="1474" spans="1:5" ht="14.4" x14ac:dyDescent="0.3">
      <c r="A1474" s="559" t="s">
        <v>1129</v>
      </c>
      <c r="B1474" s="559"/>
      <c r="C1474" s="559"/>
      <c r="D1474" s="559"/>
      <c r="E1474" s="560">
        <f>(E1470-E1471-E1472)+E1473</f>
        <v>0</v>
      </c>
    </row>
    <row r="1475" spans="1:5" x14ac:dyDescent="0.25">
      <c r="A1475" s="556" t="s">
        <v>1010</v>
      </c>
      <c r="B1475" s="556" t="s">
        <v>1010</v>
      </c>
      <c r="C1475" s="556">
        <v>2500</v>
      </c>
      <c r="D1475" s="556">
        <v>6800</v>
      </c>
      <c r="E1475" s="557">
        <f t="array" ref="E1475">SUMIFS('Accounting data'!$G$2:$G$37003,'Accounting data'!$J$2:$J$37003,"25*",'Accounting data'!$K$2:$K$37003,"68*")</f>
        <v>0</v>
      </c>
    </row>
    <row r="1476" spans="1:5" x14ac:dyDescent="0.25">
      <c r="A1476" s="556" t="s">
        <v>1011</v>
      </c>
      <c r="B1476" s="556" t="s">
        <v>1010</v>
      </c>
      <c r="C1476" s="556">
        <v>2500</v>
      </c>
      <c r="D1476" s="556">
        <v>6800</v>
      </c>
      <c r="E1476" s="557">
        <f t="array" ref="E1476">SUMIFS('Accounting data'!$G$2:$G$37003,'Accounting data'!$H$2:$H$37003,"9999*",'Accounting data'!$J$2:$J$37003,"25*",'Accounting data'!$K$2:$K$37003,"68*")</f>
        <v>0</v>
      </c>
    </row>
    <row r="1477" spans="1:5" x14ac:dyDescent="0.25">
      <c r="A1477" s="556" t="s">
        <v>1010</v>
      </c>
      <c r="B1477" s="556" t="s">
        <v>1012</v>
      </c>
      <c r="C1477" s="556">
        <v>2500</v>
      </c>
      <c r="D1477" s="556">
        <v>6800</v>
      </c>
      <c r="E1477" s="557">
        <f t="array" ref="E1477">SUMIFS('Accounting data'!$G$2:$G$37003,'Accounting data'!$I$2:$I$37003,"7*",'Accounting data'!$J$2:$J$37003,"25*",'Accounting data'!$K$2:$K$37003,"68*")+SUMIFS('Accounting data'!$G$2:$G$37003,'Accounting data'!$I$2:$I$37003,"8*",'Accounting data'!$J$2:$J$37003,"25*",'Accounting data'!$K$2:$K$37003,"68*")+SUMIFS('Accounting data'!$G$2:$G$37003,'Accounting data'!$I$2:$I$37003,"9*",'Accounting data'!$J$2:$J$37003,"25*",'Accounting data'!$K$2:$K$37003,"68*")</f>
        <v>0</v>
      </c>
    </row>
    <row r="1478" spans="1:5" x14ac:dyDescent="0.25">
      <c r="A1478" s="558" t="s">
        <v>1011</v>
      </c>
      <c r="B1478" s="556" t="s">
        <v>1012</v>
      </c>
      <c r="C1478" s="556">
        <v>2500</v>
      </c>
      <c r="D1478" s="556">
        <v>6800</v>
      </c>
      <c r="E1478" s="557">
        <f t="array" ref="E1478">SUMIFS('Accounting data'!$G$2:$G$37003,'Accounting data'!$H$2:$H$37003,"9999*",'Accounting data'!$I$2:$I$37003,"7*",'Accounting data'!$J$2:$J$37003,"25*",'Accounting data'!$K$2:$K$37003,"68*")+SUMIFS('Accounting data'!$G$2:$G$37003,'Accounting data'!$H$2:$H$37003,"9999*",'Accounting data'!$I$2:$I$37003,"8*",'Accounting data'!$J$2:$J$37003,"25*",'Accounting data'!$K$2:$K$37003,"68*")+SUMIFS('Accounting data'!$G$2:$G$37003,'Accounting data'!$H$2:$H$37003,"9999*",'Accounting data'!$I$2:$I$37003,"9*",'Accounting data'!$J$2:$J$37003,"25*",'Accounting data'!$K$2:$K$37003,"68*")</f>
        <v>0</v>
      </c>
    </row>
    <row r="1479" spans="1:5" ht="14.4" x14ac:dyDescent="0.3">
      <c r="A1479" s="559" t="s">
        <v>1130</v>
      </c>
      <c r="B1479" s="559"/>
      <c r="C1479" s="559"/>
      <c r="D1479" s="559"/>
      <c r="E1479" s="560">
        <f>(E1475-E1476-E1477)+E1478</f>
        <v>0</v>
      </c>
    </row>
    <row r="1480" spans="1:5" x14ac:dyDescent="0.25">
      <c r="A1480" s="556" t="s">
        <v>1010</v>
      </c>
      <c r="B1480" s="556" t="s">
        <v>1010</v>
      </c>
      <c r="C1480" s="556">
        <v>2900</v>
      </c>
      <c r="D1480" s="556">
        <v>6800</v>
      </c>
      <c r="E1480" s="557">
        <f t="array" ref="E1480">SUMIFS('Accounting data'!$G$2:$G$37003,'Accounting data'!$J$2:$J$37003,"29*",'Accounting data'!$K$2:$K$37003,"68*")</f>
        <v>0</v>
      </c>
    </row>
    <row r="1481" spans="1:5" x14ac:dyDescent="0.25">
      <c r="A1481" s="556" t="s">
        <v>1011</v>
      </c>
      <c r="B1481" s="556" t="s">
        <v>1010</v>
      </c>
      <c r="C1481" s="556">
        <v>2900</v>
      </c>
      <c r="D1481" s="556">
        <v>6800</v>
      </c>
      <c r="E1481" s="557">
        <f t="array" ref="E1481">SUMIFS('Accounting data'!$G$2:$G$37003,'Accounting data'!$H$2:$H$37003,"9999*",'Accounting data'!$J$2:$J$37003,"29*",'Accounting data'!$K$2:$K$37003,"68*")</f>
        <v>0</v>
      </c>
    </row>
    <row r="1482" spans="1:5" x14ac:dyDescent="0.25">
      <c r="A1482" s="556" t="s">
        <v>1010</v>
      </c>
      <c r="B1482" s="556" t="s">
        <v>1012</v>
      </c>
      <c r="C1482" s="556">
        <v>2900</v>
      </c>
      <c r="D1482" s="556">
        <v>6800</v>
      </c>
      <c r="E1482" s="557">
        <f t="array" ref="E1482">SUMIFS('Accounting data'!$G$2:$G$37003,'Accounting data'!$I$2:$I$37003,"7*",'Accounting data'!$J$2:$J$37003,"29*",'Accounting data'!$K$2:$K$37003,"68*")+SUMIFS('Accounting data'!$G$2:$G$37003,'Accounting data'!$I$2:$I$37003,"8*",'Accounting data'!$J$2:$J$37003,"29*",'Accounting data'!$K$2:$K$37003,"68*")+SUMIFS('Accounting data'!$G$2:$G$37003,'Accounting data'!$I$2:$I$37003,"9*",'Accounting data'!$J$2:$J$37003,"29*",'Accounting data'!$K$2:$K$37003,"68*")</f>
        <v>0</v>
      </c>
    </row>
    <row r="1483" spans="1:5" x14ac:dyDescent="0.25">
      <c r="A1483" s="558" t="s">
        <v>1011</v>
      </c>
      <c r="B1483" s="556" t="s">
        <v>1012</v>
      </c>
      <c r="C1483" s="556">
        <v>2900</v>
      </c>
      <c r="D1483" s="556">
        <v>6800</v>
      </c>
      <c r="E1483" s="557">
        <f t="array" ref="E1483">SUMIFS('Accounting data'!$G$2:$G$37003,'Accounting data'!$H$2:$H$37003,"9999*",'Accounting data'!$I$2:$I$37003,"7*",'Accounting data'!$J$2:$J$37003,"29*",'Accounting data'!$K$2:$K$37003,"68*")+SUMIFS('Accounting data'!$G$2:$G$37003,'Accounting data'!$H$2:$H$37003,"9999*",'Accounting data'!$I$2:$I$37003,"8*",'Accounting data'!$J$2:$J$37003,"29*",'Accounting data'!$K$2:$K$37003,"68*")+SUMIFS('Accounting data'!$G$2:$G$37003,'Accounting data'!$H$2:$H$37003,"9999*",'Accounting data'!$I$2:$I$37003,"9*",'Accounting data'!$J$2:$J$37003,"29*",'Accounting data'!$K$2:$K$37003,"68*")</f>
        <v>0</v>
      </c>
    </row>
    <row r="1484" spans="1:5" ht="14.4" x14ac:dyDescent="0.3">
      <c r="A1484" s="559" t="s">
        <v>1131</v>
      </c>
      <c r="B1484" s="559"/>
      <c r="C1484" s="559"/>
      <c r="D1484" s="559"/>
      <c r="E1484" s="560">
        <f>(E1480-E1481-E1482)+E1483</f>
        <v>0</v>
      </c>
    </row>
    <row r="1485" spans="1:5" x14ac:dyDescent="0.25">
      <c r="A1485" s="556" t="s">
        <v>1010</v>
      </c>
      <c r="B1485" s="556" t="s">
        <v>1010</v>
      </c>
      <c r="C1485" s="556">
        <v>2600</v>
      </c>
      <c r="D1485" s="556">
        <v>6800</v>
      </c>
      <c r="E1485" s="557">
        <f t="array" ref="E1485">SUMIFS('Accounting data'!$G$2:$G$37003,'Accounting data'!$J$2:$J$37003,"26*",'Accounting data'!$K$2:$K$37003,"68*")</f>
        <v>0</v>
      </c>
    </row>
    <row r="1486" spans="1:5" x14ac:dyDescent="0.25">
      <c r="A1486" s="556" t="s">
        <v>1011</v>
      </c>
      <c r="B1486" s="556" t="s">
        <v>1010</v>
      </c>
      <c r="C1486" s="556">
        <v>2600</v>
      </c>
      <c r="D1486" s="556">
        <v>6800</v>
      </c>
      <c r="E1486" s="557">
        <f t="array" ref="E1486">SUMIFS('Accounting data'!$G$2:$G$37003,'Accounting data'!$H$2:$H$37003,"9999*",'Accounting data'!$J$2:$J$37003,"26*",'Accounting data'!$K$2:$K$37003,"68*")</f>
        <v>0</v>
      </c>
    </row>
    <row r="1487" spans="1:5" x14ac:dyDescent="0.25">
      <c r="A1487" s="556" t="s">
        <v>1010</v>
      </c>
      <c r="B1487" s="556" t="s">
        <v>1012</v>
      </c>
      <c r="C1487" s="556">
        <v>2600</v>
      </c>
      <c r="D1487" s="556">
        <v>6800</v>
      </c>
      <c r="E1487" s="557">
        <f t="array" ref="E1487">SUMIFS('Accounting data'!$G$2:$G$37003,'Accounting data'!$I$2:$I$37003,"7*",'Accounting data'!$J$2:$J$37003,"26*",'Accounting data'!$K$2:$K$37003,"68*")+SUMIFS('Accounting data'!$G$2:$G$37003,'Accounting data'!$I$2:$I$37003,"8*",'Accounting data'!$J$2:$J$37003,"26*",'Accounting data'!$K$2:$K$37003,"68*")+SUMIFS('Accounting data'!$G$2:$G$37003,'Accounting data'!$I$2:$I$37003,"9*",'Accounting data'!$J$2:$J$37003,"26*",'Accounting data'!$K$2:$K$37003,"68*")</f>
        <v>0</v>
      </c>
    </row>
    <row r="1488" spans="1:5" x14ac:dyDescent="0.25">
      <c r="A1488" s="558" t="s">
        <v>1011</v>
      </c>
      <c r="B1488" s="556" t="s">
        <v>1012</v>
      </c>
      <c r="C1488" s="556">
        <v>2600</v>
      </c>
      <c r="D1488" s="556">
        <v>6800</v>
      </c>
      <c r="E1488" s="557">
        <f t="array" ref="E1488">SUMIFS('Accounting data'!$G$2:$G$37003,'Accounting data'!$H$2:$H$37003,"9999*",'Accounting data'!$I$2:$I$37003,"7*",'Accounting data'!$J$2:$J$37003,"26*",'Accounting data'!$K$2:$K$37003,"68*")+SUMIFS('Accounting data'!$G$2:$G$37003,'Accounting data'!$H$2:$H$37003,"9999*",'Accounting data'!$I$2:$I$37003,"8*",'Accounting data'!$J$2:$J$37003,"26*",'Accounting data'!$K$2:$K$37003,"68*")+SUMIFS('Accounting data'!$G$2:$G$37003,'Accounting data'!$H$2:$H$37003,"9999*",'Accounting data'!$I$2:$I$37003,"9*",'Accounting data'!$J$2:$J$37003,"26*",'Accounting data'!$K$2:$K$37003,"68*")</f>
        <v>0</v>
      </c>
    </row>
    <row r="1489" spans="1:5" ht="14.4" x14ac:dyDescent="0.3">
      <c r="A1489" s="559" t="s">
        <v>1132</v>
      </c>
      <c r="B1489" s="559"/>
      <c r="C1489" s="559"/>
      <c r="D1489" s="559"/>
      <c r="E1489" s="560">
        <f>(E1485-E1486-E1487)+E1488</f>
        <v>0</v>
      </c>
    </row>
    <row r="1490" spans="1:5" x14ac:dyDescent="0.25">
      <c r="A1490" s="556" t="s">
        <v>1010</v>
      </c>
      <c r="B1490" s="556" t="s">
        <v>1010</v>
      </c>
      <c r="C1490" s="556">
        <v>2700</v>
      </c>
      <c r="D1490" s="556">
        <v>6800</v>
      </c>
      <c r="E1490" s="557">
        <f t="array" ref="E1490">SUMIFS('Accounting data'!$G$2:$G$37003,'Accounting data'!$J$2:$J$37003,"27*",'Accounting data'!$K$2:$K$37003,"68*")</f>
        <v>0</v>
      </c>
    </row>
    <row r="1491" spans="1:5" x14ac:dyDescent="0.25">
      <c r="A1491" s="556" t="s">
        <v>1011</v>
      </c>
      <c r="B1491" s="556" t="s">
        <v>1010</v>
      </c>
      <c r="C1491" s="556">
        <v>2700</v>
      </c>
      <c r="D1491" s="556">
        <v>6800</v>
      </c>
      <c r="E1491" s="557">
        <f t="array" ref="E1491">SUMIFS('Accounting data'!$G$2:$G$37003,'Accounting data'!$H$2:$H$37003,"9999*",'Accounting data'!$J$2:$J$37003,"27*",'Accounting data'!$K$2:$K$37003,"68*")</f>
        <v>0</v>
      </c>
    </row>
    <row r="1492" spans="1:5" x14ac:dyDescent="0.25">
      <c r="A1492" s="556" t="s">
        <v>1010</v>
      </c>
      <c r="B1492" s="556" t="s">
        <v>1012</v>
      </c>
      <c r="C1492" s="556">
        <v>2700</v>
      </c>
      <c r="D1492" s="556">
        <v>6800</v>
      </c>
      <c r="E1492" s="557">
        <f t="array" ref="E1492">SUMIFS('Accounting data'!$G$2:$G$37003,'Accounting data'!$I$2:$I$37003,"7*",'Accounting data'!$J$2:$J$37003,"27*",'Accounting data'!$K$2:$K$37003,"68*")+SUMIFS('Accounting data'!$G$2:$G$37003,'Accounting data'!$I$2:$I$37003,"8*",'Accounting data'!$J$2:$J$37003,"27*",'Accounting data'!$K$2:$K$37003,"68*")+SUMIFS('Accounting data'!$G$2:$G$37003,'Accounting data'!$I$2:$I$37003,"9*",'Accounting data'!$J$2:$J$37003,"27*",'Accounting data'!$K$2:$K$37003,"68*")</f>
        <v>0</v>
      </c>
    </row>
    <row r="1493" spans="1:5" x14ac:dyDescent="0.25">
      <c r="A1493" s="558" t="s">
        <v>1011</v>
      </c>
      <c r="B1493" s="556" t="s">
        <v>1012</v>
      </c>
      <c r="C1493" s="556">
        <v>2700</v>
      </c>
      <c r="D1493" s="556">
        <v>6800</v>
      </c>
      <c r="E1493" s="557">
        <f t="array" ref="E1493">SUMIFS('Accounting data'!$G$2:$G$37003,'Accounting data'!$H$2:$H$37003,"9999*",'Accounting data'!$I$2:$I$37003,"7*",'Accounting data'!$J$2:$J$37003,"27*",'Accounting data'!$K$2:$K$37003,"68*")+SUMIFS('Accounting data'!$G$2:$G$37003,'Accounting data'!$H$2:$H$37003,"9999*",'Accounting data'!$I$2:$I$37003,"8*",'Accounting data'!$J$2:$J$37003,"27*",'Accounting data'!$K$2:$K$37003,"68*")+SUMIFS('Accounting data'!$G$2:$G$37003,'Accounting data'!$H$2:$H$37003,"9999*",'Accounting data'!$I$2:$I$37003,"9*",'Accounting data'!$J$2:$J$37003,"27*",'Accounting data'!$K$2:$K$37003,"68*")</f>
        <v>0</v>
      </c>
    </row>
    <row r="1494" spans="1:5" ht="14.4" x14ac:dyDescent="0.3">
      <c r="A1494" s="559" t="s">
        <v>1133</v>
      </c>
      <c r="B1494" s="559"/>
      <c r="C1494" s="559"/>
      <c r="D1494" s="559"/>
      <c r="E1494" s="560">
        <f>(E1490-E1491-E1492)+E1493</f>
        <v>0</v>
      </c>
    </row>
    <row r="1495" spans="1:5" x14ac:dyDescent="0.25">
      <c r="A1495" s="556" t="s">
        <v>1010</v>
      </c>
      <c r="B1495" s="556" t="s">
        <v>1010</v>
      </c>
      <c r="C1495" s="556">
        <v>3100</v>
      </c>
      <c r="D1495" s="556">
        <v>6800</v>
      </c>
      <c r="E1495" s="557">
        <f t="array" ref="E1495">SUMIFS('Accounting data'!$G$2:$G$37003,'Accounting data'!$J$2:$J$37003,"31*",'Accounting data'!$K$2:$K$37003,"68*")</f>
        <v>0</v>
      </c>
    </row>
    <row r="1496" spans="1:5" x14ac:dyDescent="0.25">
      <c r="A1496" s="556" t="s">
        <v>1011</v>
      </c>
      <c r="B1496" s="556" t="s">
        <v>1010</v>
      </c>
      <c r="C1496" s="556">
        <v>3100</v>
      </c>
      <c r="D1496" s="556">
        <v>6800</v>
      </c>
      <c r="E1496" s="557">
        <f t="array" ref="E1496">SUMIFS('Accounting data'!$G$2:$G$37003,'Accounting data'!$H$2:$H$37003,"9999*",'Accounting data'!$J$2:$J$37003,"31*",'Accounting data'!$K$2:$K$37003,"68*")</f>
        <v>0</v>
      </c>
    </row>
    <row r="1497" spans="1:5" x14ac:dyDescent="0.25">
      <c r="A1497" s="556" t="s">
        <v>1010</v>
      </c>
      <c r="B1497" s="556" t="s">
        <v>1012</v>
      </c>
      <c r="C1497" s="556">
        <v>3100</v>
      </c>
      <c r="D1497" s="556">
        <v>6800</v>
      </c>
      <c r="E1497" s="557">
        <f t="array" ref="E1497">SUMIFS('Accounting data'!$G$2:$G$37003,'Accounting data'!$I$2:$I$37003,"7*",'Accounting data'!$J$2:$J$37003,"31*",'Accounting data'!$K$2:$K$37003,"68*")+SUMIFS('Accounting data'!$G$2:$G$37003,'Accounting data'!$I$2:$I$37003,"8*",'Accounting data'!$J$2:$J$37003,"31*",'Accounting data'!$K$2:$K$37003,"68*")+SUMIFS('Accounting data'!$G$2:$G$37003,'Accounting data'!$I$2:$I$37003,"9*",'Accounting data'!$J$2:$J$37003,"31*",'Accounting data'!$K$2:$K$37003,"68*")</f>
        <v>0</v>
      </c>
    </row>
    <row r="1498" spans="1:5" x14ac:dyDescent="0.25">
      <c r="A1498" s="558" t="s">
        <v>1011</v>
      </c>
      <c r="B1498" s="556" t="s">
        <v>1012</v>
      </c>
      <c r="C1498" s="556">
        <v>3100</v>
      </c>
      <c r="D1498" s="556">
        <v>6800</v>
      </c>
      <c r="E1498" s="557">
        <f t="array" ref="E1498">SUMIFS('Accounting data'!$G$2:$G$37003,'Accounting data'!$H$2:$H$37003,"9999*",'Accounting data'!$I$2:$I$37003,"7*",'Accounting data'!$J$2:$J$37003,"31*",'Accounting data'!$K$2:$K$37003,"68*")+SUMIFS('Accounting data'!$G$2:$G$37003,'Accounting data'!$H$2:$H$37003,"9999*",'Accounting data'!$I$2:$I$37003,"8*",'Accounting data'!$J$2:$J$37003,"31*",'Accounting data'!$K$2:$K$37003,"68*")+SUMIFS('Accounting data'!$G$2:$G$37003,'Accounting data'!$H$2:$H$37003,"9999*",'Accounting data'!$I$2:$I$37003,"9*",'Accounting data'!$J$2:$J$37003,"31*",'Accounting data'!$K$2:$K$37003,"68*")</f>
        <v>0</v>
      </c>
    </row>
    <row r="1499" spans="1:5" ht="14.4" x14ac:dyDescent="0.3">
      <c r="A1499" s="559" t="s">
        <v>1134</v>
      </c>
      <c r="B1499" s="559"/>
      <c r="C1499" s="559"/>
      <c r="D1499" s="559"/>
      <c r="E1499" s="560">
        <f>(E1495-E1496-E1497)+E1498</f>
        <v>0</v>
      </c>
    </row>
    <row r="1500" spans="1:5" x14ac:dyDescent="0.25">
      <c r="A1500" s="556" t="s">
        <v>1010</v>
      </c>
      <c r="B1500" s="556" t="s">
        <v>1010</v>
      </c>
      <c r="C1500" s="556">
        <v>3400</v>
      </c>
      <c r="D1500" s="556">
        <v>6800</v>
      </c>
      <c r="E1500" s="557">
        <f t="array" ref="E1500">SUMIFS('Accounting data'!$G$2:$G$37003,'Accounting data'!$J$2:$J$37003,"34*",'Accounting data'!$K$2:$K$37003,"68*")</f>
        <v>0</v>
      </c>
    </row>
    <row r="1501" spans="1:5" x14ac:dyDescent="0.25">
      <c r="A1501" s="556" t="s">
        <v>1011</v>
      </c>
      <c r="B1501" s="556" t="s">
        <v>1010</v>
      </c>
      <c r="C1501" s="556">
        <v>3400</v>
      </c>
      <c r="D1501" s="556">
        <v>6800</v>
      </c>
      <c r="E1501" s="557">
        <f t="array" ref="E1501">SUMIFS('Accounting data'!$G$2:$G$37003,'Accounting data'!$H$2:$H$37003,"9999*",'Accounting data'!$J$2:$J$37003,"34*",'Accounting data'!$K$2:$K$37003,"68*")</f>
        <v>0</v>
      </c>
    </row>
    <row r="1502" spans="1:5" x14ac:dyDescent="0.25">
      <c r="A1502" s="556" t="s">
        <v>1010</v>
      </c>
      <c r="B1502" s="556" t="s">
        <v>1012</v>
      </c>
      <c r="C1502" s="556">
        <v>3400</v>
      </c>
      <c r="D1502" s="556">
        <v>6800</v>
      </c>
      <c r="E1502" s="557">
        <f t="array" ref="E1502">SUMIFS('Accounting data'!$G$2:$G$37003,'Accounting data'!$I$2:$I$37003,"7*",'Accounting data'!$J$2:$J$37003,"34*",'Accounting data'!$K$2:$K$37003,"68*")+SUMIFS('Accounting data'!$G$2:$G$37003,'Accounting data'!$I$2:$I$37003,"8*",'Accounting data'!$J$2:$J$37003,"34*",'Accounting data'!$K$2:$K$37003,"68*")+SUMIFS('Accounting data'!$G$2:$G$37003,'Accounting data'!$I$2:$I$37003,"9*",'Accounting data'!$J$2:$J$37003,"34*",'Accounting data'!$K$2:$K$37003,"68*")</f>
        <v>0</v>
      </c>
    </row>
    <row r="1503" spans="1:5" x14ac:dyDescent="0.25">
      <c r="A1503" s="558" t="s">
        <v>1011</v>
      </c>
      <c r="B1503" s="556" t="s">
        <v>1012</v>
      </c>
      <c r="C1503" s="556">
        <v>3400</v>
      </c>
      <c r="D1503" s="556">
        <v>6800</v>
      </c>
      <c r="E1503" s="557">
        <f t="array" ref="E1503">SUMIFS('Accounting data'!$G$2:$G$37003,'Accounting data'!$H$2:$H$37003,"9999*",'Accounting data'!$I$2:$I$37003,"7*",'Accounting data'!$J$2:$J$37003,"34*",'Accounting data'!$K$2:$K$37003,"68*")+SUMIFS('Accounting data'!$G$2:$G$37003,'Accounting data'!$H$2:$H$37003,"9999*",'Accounting data'!$I$2:$I$37003,"8*",'Accounting data'!$J$2:$J$37003,"34*",'Accounting data'!$K$2:$K$37003,"68*")+SUMIFS('Accounting data'!$G$2:$G$37003,'Accounting data'!$H$2:$H$37003,"9999*",'Accounting data'!$I$2:$I$37003,"9*",'Accounting data'!$J$2:$J$37003,"34*",'Accounting data'!$K$2:$K$37003,"68*")</f>
        <v>0</v>
      </c>
    </row>
    <row r="1504" spans="1:5" ht="14.4" x14ac:dyDescent="0.3">
      <c r="A1504" s="559" t="s">
        <v>1135</v>
      </c>
      <c r="B1504" s="559"/>
      <c r="C1504" s="559"/>
      <c r="D1504" s="559"/>
      <c r="E1504" s="560">
        <f>(E1500-E1501-E1502)+E1503</f>
        <v>0</v>
      </c>
    </row>
    <row r="1505" spans="1:5" ht="14.4" x14ac:dyDescent="0.3">
      <c r="A1505" s="562" t="s">
        <v>1136</v>
      </c>
      <c r="B1505" s="562"/>
      <c r="C1505" s="562"/>
      <c r="D1505" s="562"/>
      <c r="E1505" s="563">
        <f>E1454+E1459+E1464+E1469+E1474+E1479+E1484+E1489+E1494+E1499+E1504</f>
        <v>1200</v>
      </c>
    </row>
    <row r="1506" spans="1:5" x14ac:dyDescent="0.25">
      <c r="A1506" s="556" t="s">
        <v>1026</v>
      </c>
      <c r="B1506" s="556" t="s">
        <v>1010</v>
      </c>
      <c r="C1506" s="556">
        <v>1000</v>
      </c>
      <c r="D1506" s="556">
        <v>6800</v>
      </c>
      <c r="E1506" s="557">
        <f>SUMIFS('Accounting data'!$G$2:$G$37003,'Accounting data'!$H$2:$H$37003,"11*",'Accounting data'!$J$2:$J$37003,"1*",'Accounting data'!$K$2:$K$37003,"68*")+SUMIFS('Accounting data'!$G$2:$G$37003,'Accounting data'!$H$2:$H$37003,"12*",'Accounting data'!$J$2:$J$37003,"1*",'Accounting data'!$K$2:$K$37003,"68*")+SUMIFS('Accounting data'!$G$2:$G$37003,'Accounting data'!$H$2:$H$37003,"13*",'Accounting data'!$J$2:$J$37003,"1*",'Accounting data'!$K$2:$K$37003,"68*")</f>
        <v>0</v>
      </c>
    </row>
    <row r="1507" spans="1:5" x14ac:dyDescent="0.25">
      <c r="A1507" s="556" t="s">
        <v>1026</v>
      </c>
      <c r="B1507" s="556" t="s">
        <v>1010</v>
      </c>
      <c r="C1507" s="556">
        <v>2000</v>
      </c>
      <c r="D1507" s="556">
        <v>6800</v>
      </c>
      <c r="E1507" s="557">
        <f>SUMIFS('Accounting data'!$G$2:$G$37003,'Accounting data'!$H$2:$H$37003,"11*",'Accounting data'!$J$2:$J$37003,"2*",'Accounting data'!$K$2:$K$37003,"68*")+SUMIFS('Accounting data'!$G$2:$G$37003,'Accounting data'!$H$2:$H$37003,"12*",'Accounting data'!$J$2:$J$37003,"2*",'Accounting data'!$K$2:$K$37003,"68*")+SUMIFS('Accounting data'!$G$2:$G$37003,'Accounting data'!$H$2:$H$37003,"13*",'Accounting data'!$J$2:$J$37003,"2*",'Accounting data'!$K$2:$K$37003,"68*")</f>
        <v>0</v>
      </c>
    </row>
    <row r="1508" spans="1:5" x14ac:dyDescent="0.25">
      <c r="A1508" s="556" t="s">
        <v>1026</v>
      </c>
      <c r="B1508" s="556" t="s">
        <v>1010</v>
      </c>
      <c r="C1508" s="556">
        <v>3000</v>
      </c>
      <c r="D1508" s="556">
        <v>6800</v>
      </c>
      <c r="E1508" s="557">
        <f>SUMIFS('Accounting data'!$G$2:$G$37003,'Accounting data'!$H$2:$H$37003,"11*",'Accounting data'!$J$2:$J$37003,"3*",'Accounting data'!$K$2:$K$37003,"68*")+SUMIFS('Accounting data'!$G$2:$G$37003,'Accounting data'!$H$2:$H$37003,"12*",'Accounting data'!$J$2:$J$37003,"3*",'Accounting data'!$K$2:$K$37003,"68*")+SUMIFS('Accounting data'!$G$2:$G$37003,'Accounting data'!$H$2:$H$37003,"13*",'Accounting data'!$J$2:$J$37003,"3*",'Accounting data'!$K$2:$K$37003,"68*")</f>
        <v>0</v>
      </c>
    </row>
    <row r="1509" spans="1:5" x14ac:dyDescent="0.25">
      <c r="A1509" s="556" t="s">
        <v>1026</v>
      </c>
      <c r="B1509" s="558">
        <v>700</v>
      </c>
      <c r="C1509" s="556">
        <v>1000</v>
      </c>
      <c r="D1509" s="556">
        <v>6800</v>
      </c>
      <c r="E1509" s="557">
        <f>SUMIFS('Accounting data'!$G$2:$G$37003,'Accounting data'!$H$2:$H$37003,"11*",'Accounting data'!$I$2:$I$37003,"7*",'Accounting data'!$J$2:$J$37003,"1*",'Accounting data'!$K$2:$K$37003,"68*")+SUMIFS('Accounting data'!$G$2:$G$37003,'Accounting data'!$H$2:$H$37003,"12*",'Accounting data'!$I$2:$I$37003,"7*",'Accounting data'!$J$2:$J$37003,"1*",'Accounting data'!$K$2:$K$37003,"68*")+SUMIFS('Accounting data'!$G$2:$G$37003,'Accounting data'!$H$2:$H$37003,"13*",'Accounting data'!$I$2:$I$37003,"7*",'Accounting data'!$J$2:$J$37003,"1*",'Accounting data'!$K$2:$K$37003,"68*")</f>
        <v>0</v>
      </c>
    </row>
    <row r="1510" spans="1:5" x14ac:dyDescent="0.25">
      <c r="A1510" s="556" t="s">
        <v>1026</v>
      </c>
      <c r="B1510" s="558">
        <v>800</v>
      </c>
      <c r="C1510" s="556">
        <v>1000</v>
      </c>
      <c r="D1510" s="556">
        <v>6800</v>
      </c>
      <c r="E1510" s="557">
        <f>SUMIFS('Accounting data'!$G$2:$G$37003,'Accounting data'!$H$2:$H$37003,"11*",'Accounting data'!$I$2:$I$37003,"8*",'Accounting data'!$J$2:$J$37003,"1*",'Accounting data'!$K$2:$K$37003,"68*")+SUMIFS('Accounting data'!$G$2:$G$37003,'Accounting data'!$H$2:$H$37003,"12*",'Accounting data'!$I$2:$I$37003,"8*",'Accounting data'!$J$2:$J$37003,"1*",'Accounting data'!$K$2:$K$37003,"68*")+SUMIFS('Accounting data'!$G$2:$G$37003,'Accounting data'!$H$2:$H$37003,"13*",'Accounting data'!$I$2:$I$37003,"8*",'Accounting data'!$J$2:$J$37003,"1*",'Accounting data'!$K$2:$K$37003,"68*")</f>
        <v>0</v>
      </c>
    </row>
    <row r="1511" spans="1:5" x14ac:dyDescent="0.25">
      <c r="A1511" s="556" t="s">
        <v>1026</v>
      </c>
      <c r="B1511" s="558">
        <v>900</v>
      </c>
      <c r="C1511" s="556">
        <v>1000</v>
      </c>
      <c r="D1511" s="556">
        <v>6800</v>
      </c>
      <c r="E1511" s="557">
        <f>SUMIFS('Accounting data'!$G$2:$G$37003,'Accounting data'!$H$2:$H$37003,"11*",'Accounting data'!$I$2:$I$37003,"9*",'Accounting data'!$J$2:$J$37003,"1*",'Accounting data'!$K$2:$K$37003,"68*")+SUMIFS('Accounting data'!$G$2:$G$37003,'Accounting data'!$H$2:$H$37003,"12*",'Accounting data'!$I$2:$I$37003,"9*",'Accounting data'!$J$2:$J$37003,"1*",'Accounting data'!$K$2:$K$37003,"68*")+SUMIFS('Accounting data'!$G$2:$G$37003,'Accounting data'!$H$2:$H$37003,"13*",'Accounting data'!$I$2:$I$37003,"9*",'Accounting data'!$J$2:$J$37003,"1*",'Accounting data'!$K$2:$K$37003,"68*")</f>
        <v>0</v>
      </c>
    </row>
    <row r="1512" spans="1:5" x14ac:dyDescent="0.25">
      <c r="A1512" s="556" t="s">
        <v>1026</v>
      </c>
      <c r="B1512" s="558">
        <v>700</v>
      </c>
      <c r="C1512" s="556">
        <v>2000</v>
      </c>
      <c r="D1512" s="556">
        <v>6800</v>
      </c>
      <c r="E1512" s="557">
        <f>SUMIFS('Accounting data'!$G$2:$G$37003,'Accounting data'!$H$2:$H$37003,"11*",'Accounting data'!$I$2:$I$37003,"7*",'Accounting data'!$J$2:$J$37003,"2*",'Accounting data'!$K$2:$K$37003,"68*")+SUMIFS('Accounting data'!$G$2:$G$37003,'Accounting data'!$H$2:$H$37003,"12*",'Accounting data'!$I$2:$I$37003,"7*",'Accounting data'!$J$2:$J$37003,"2*",'Accounting data'!$K$2:$K$37003,"68*")+SUMIFS('Accounting data'!$G$2:$G$37003,'Accounting data'!$H$2:$H$37003,"13*",'Accounting data'!$I$2:$I$37003,"7*",'Accounting data'!$J$2:$J$37003,"2*",'Accounting data'!$K$2:$K$37003,"68*")</f>
        <v>0</v>
      </c>
    </row>
    <row r="1513" spans="1:5" x14ac:dyDescent="0.25">
      <c r="A1513" s="556" t="s">
        <v>1026</v>
      </c>
      <c r="B1513" s="558">
        <v>800</v>
      </c>
      <c r="C1513" s="556">
        <v>2000</v>
      </c>
      <c r="D1513" s="556">
        <v>6800</v>
      </c>
      <c r="E1513" s="557">
        <f>SUMIFS('Accounting data'!$G$2:$G$37003,'Accounting data'!$H$2:$H$37003,"11*",'Accounting data'!$I$2:$I$37003,"8*",'Accounting data'!$J$2:$J$37003,"2*",'Accounting data'!$K$2:$K$37003,"68*")+SUMIFS('Accounting data'!$G$2:$G$37003,'Accounting data'!$H$2:$H$37003,"12*",'Accounting data'!$I$2:$I$37003,"8*",'Accounting data'!$J$2:$J$37003,"2*",'Accounting data'!$K$2:$K$37003,"68*")+SUMIFS('Accounting data'!$G$2:$G$37003,'Accounting data'!$H$2:$H$37003,"13*",'Accounting data'!$I$2:$I$37003,"8*",'Accounting data'!$J$2:$J$37003,"2*",'Accounting data'!$K$2:$K$37003,"68*")</f>
        <v>0</v>
      </c>
    </row>
    <row r="1514" spans="1:5" x14ac:dyDescent="0.25">
      <c r="A1514" s="556" t="s">
        <v>1026</v>
      </c>
      <c r="B1514" s="558">
        <v>900</v>
      </c>
      <c r="C1514" s="556">
        <v>2000</v>
      </c>
      <c r="D1514" s="556">
        <v>6800</v>
      </c>
      <c r="E1514" s="557">
        <f>SUMIFS('Accounting data'!$G$2:$G$37003,'Accounting data'!$H$2:$H$37003,"11*",'Accounting data'!$I$2:$I$37003,"9*",'Accounting data'!$J$2:$J$37003,"2*",'Accounting data'!$K$2:$K$37003,"68*")+SUMIFS('Accounting data'!$G$2:$G$37003,'Accounting data'!$H$2:$H$37003,"12*",'Accounting data'!$I$2:$I$37003,"9*",'Accounting data'!$J$2:$J$37003,"2*",'Accounting data'!$K$2:$K$37003,"68*")+SUMIFS('Accounting data'!$G$2:$G$37003,'Accounting data'!$H$2:$H$37003,"13*",'Accounting data'!$I$2:$I$37003,"9*",'Accounting data'!$J$2:$J$37003,"2*",'Accounting data'!$K$2:$K$37003,"68*")</f>
        <v>0</v>
      </c>
    </row>
    <row r="1515" spans="1:5" x14ac:dyDescent="0.25">
      <c r="A1515" s="556" t="s">
        <v>1026</v>
      </c>
      <c r="B1515" s="558">
        <v>700</v>
      </c>
      <c r="C1515" s="556">
        <v>3000</v>
      </c>
      <c r="D1515" s="556">
        <v>6800</v>
      </c>
      <c r="E1515" s="557">
        <f>SUMIFS('Accounting data'!$G$2:$G$37003,'Accounting data'!$H$2:$H$37003,"11*",'Accounting data'!$I$2:$I$37003,"7*",'Accounting data'!$J$2:$J$37003,"3*",'Accounting data'!$K$2:$K$37003,"68*")+SUMIFS('Accounting data'!$G$2:$G$37003,'Accounting data'!$H$2:$H$37003,"12*",'Accounting data'!$I$2:$I$37003,"7*",'Accounting data'!$J$2:$J$37003,"3*",'Accounting data'!$K$2:$K$37003,"68*")+SUMIFS('Accounting data'!$G$2:$G$37003,'Accounting data'!$H$2:$H$37003,"13*",'Accounting data'!$I$2:$I$37003,"7*",'Accounting data'!$J$2:$J$37003,"3*",'Accounting data'!$K$2:$K$37003,"68*")</f>
        <v>0</v>
      </c>
    </row>
    <row r="1516" spans="1:5" x14ac:dyDescent="0.25">
      <c r="A1516" s="556" t="s">
        <v>1026</v>
      </c>
      <c r="B1516" s="558">
        <v>800</v>
      </c>
      <c r="C1516" s="556">
        <v>3000</v>
      </c>
      <c r="D1516" s="556">
        <v>6800</v>
      </c>
      <c r="E1516" s="557">
        <f>SUMIFS('Accounting data'!$G$2:$G$37003,'Accounting data'!$H$2:$H$37003,"11*",'Accounting data'!$I$2:$I$37003,"8*",'Accounting data'!$J$2:$J$37003,"3*",'Accounting data'!$K$2:$K$37003,"68*")+SUMIFS('Accounting data'!$G$2:$G$37003,'Accounting data'!$H$2:$H$37003,"12*",'Accounting data'!$I$2:$I$37003,"8*",'Accounting data'!$J$2:$J$37003,"3*",'Accounting data'!$K$2:$K$37003,"68*")+SUMIFS('Accounting data'!$G$2:$G$37003,'Accounting data'!$H$2:$H$37003,"13*",'Accounting data'!$I$2:$I$37003,"8*",'Accounting data'!$J$2:$J$37003,"3*",'Accounting data'!$K$2:$K$37003,"68*")</f>
        <v>0</v>
      </c>
    </row>
    <row r="1517" spans="1:5" x14ac:dyDescent="0.25">
      <c r="A1517" s="556" t="s">
        <v>1026</v>
      </c>
      <c r="B1517" s="558">
        <v>900</v>
      </c>
      <c r="C1517" s="556">
        <v>3000</v>
      </c>
      <c r="D1517" s="556">
        <v>6800</v>
      </c>
      <c r="E1517" s="557">
        <f>SUMIFS('Accounting data'!$G$2:$G$37003,'Accounting data'!$H$2:$H$37003,"11*",'Accounting data'!$I$2:$I$37003,"9*",'Accounting data'!$J$2:$J$37003,"3*",'Accounting data'!$K$2:$K$37003,"68*")+SUMIFS('Accounting data'!$G$2:$G$37003,'Accounting data'!$H$2:$H$37003,"12*",'Accounting data'!$I$2:$I$37003,"9*",'Accounting data'!$J$2:$J$37003,"3*",'Accounting data'!$K$2:$K$37003,"68*")+SUMIFS('Accounting data'!$G$2:$G$37003,'Accounting data'!$H$2:$H$37003,"13*",'Accounting data'!$I$2:$I$37003,"9*",'Accounting data'!$J$2:$J$37003,"3*",'Accounting data'!$K$2:$K$37003,"68*")</f>
        <v>0</v>
      </c>
    </row>
    <row r="1518" spans="1:5" x14ac:dyDescent="0.25">
      <c r="A1518" s="559" t="s">
        <v>1137</v>
      </c>
      <c r="B1518" s="559"/>
      <c r="C1518" s="559"/>
      <c r="D1518" s="559"/>
      <c r="E1518" s="576">
        <f>(E1506+E1507+E1508)-(E1509+E1510+E1511+E1512+E1513+E1514+E1515+E1516+E1517)</f>
        <v>0</v>
      </c>
    </row>
    <row r="1519" spans="1:5" x14ac:dyDescent="0.25">
      <c r="A1519" s="556" t="s">
        <v>1010</v>
      </c>
      <c r="B1519" s="556" t="s">
        <v>1010</v>
      </c>
      <c r="C1519" s="556">
        <v>4000</v>
      </c>
      <c r="D1519" s="556">
        <v>6800</v>
      </c>
      <c r="E1519" s="557">
        <f>SUMIFS('Accounting data'!G$2:G$37003,'Accounting data'!J$2:J$37003,"4*",'Accounting data'!K$2:K$37003,"68*")</f>
        <v>0</v>
      </c>
    </row>
    <row r="1520" spans="1:5" x14ac:dyDescent="0.25">
      <c r="A1520" s="556" t="s">
        <v>1011</v>
      </c>
      <c r="B1520" s="556" t="s">
        <v>1010</v>
      </c>
      <c r="C1520" s="556">
        <v>4000</v>
      </c>
      <c r="D1520" s="556">
        <v>6800</v>
      </c>
      <c r="E1520" s="557">
        <f t="array" ref="E1520">SUMIFS('Accounting data'!$G$2:$G$37003,'Accounting data'!$H$2:$H$37003,"9999*",'Accounting data'!$J$2:$J$37003,"4*",'Accounting data'!$K$2:$K$37003,"68*")</f>
        <v>0</v>
      </c>
    </row>
    <row r="1521" spans="1:5" x14ac:dyDescent="0.25">
      <c r="A1521" s="556" t="s">
        <v>1010</v>
      </c>
      <c r="B1521" s="556" t="s">
        <v>1012</v>
      </c>
      <c r="C1521" s="556">
        <v>4000</v>
      </c>
      <c r="D1521" s="556">
        <v>6800</v>
      </c>
      <c r="E1521" s="557">
        <f t="array" ref="E1521">SUMIFS('Accounting data'!$G$2:$G$37003,'Accounting data'!$I$2:$I$37003,"7*",'Accounting data'!$J$2:$J$37003,"4*",'Accounting data'!$K$2:$K$37003,"68*")+SUMIFS('Accounting data'!$G$2:$G$37003,'Accounting data'!$I$2:$I$37003,"8*",'Accounting data'!$J$2:$J$37003,"4*",'Accounting data'!$K$2:$K$37003,"68*")+SUMIFS('Accounting data'!$G$2:$G$37003,'Accounting data'!$I$2:$I$37003,"9*",'Accounting data'!$J$2:$J$37003,"4*",'Accounting data'!$K$2:$K$37003,"68*")</f>
        <v>0</v>
      </c>
    </row>
    <row r="1522" spans="1:5" x14ac:dyDescent="0.25">
      <c r="A1522" s="558" t="s">
        <v>1011</v>
      </c>
      <c r="B1522" s="556" t="s">
        <v>1012</v>
      </c>
      <c r="C1522" s="556">
        <v>4000</v>
      </c>
      <c r="D1522" s="556">
        <v>6800</v>
      </c>
      <c r="E1522" s="557">
        <f t="array" ref="E1522">SUMIFS('Accounting data'!$G$2:$G$37003,'Accounting data'!$H$2:$H$37003,"9999*",'Accounting data'!$I$2:$I$37003,"7*",'Accounting data'!$J$2:$J$37003,"4*",'Accounting data'!$K$2:$K$37003,"68*")+SUMIFS('Accounting data'!$G$2:$G$37003,'Accounting data'!$H$2:$H$37003,"9999*",'Accounting data'!$I$2:$I$37003,"8*",'Accounting data'!$J$2:$J$37003,"4*",'Accounting data'!$K$2:$K$37003,"68*")+SUMIFS('Accounting data'!$G$2:$G$37003,'Accounting data'!$H$2:$H$37003,"9999*",'Accounting data'!$I$2:$I$37003,"9*",'Accounting data'!$J$2:$J$37003,"4*",'Accounting data'!$K$2:$K$37003,"68*")</f>
        <v>0</v>
      </c>
    </row>
    <row r="1523" spans="1:5" ht="14.4" x14ac:dyDescent="0.3">
      <c r="A1523" s="559" t="s">
        <v>1138</v>
      </c>
      <c r="B1523" s="559"/>
      <c r="C1523" s="559"/>
      <c r="D1523" s="559"/>
      <c r="E1523" s="560">
        <f>(E1519-E1520-E1521)+E1522</f>
        <v>0</v>
      </c>
    </row>
    <row r="1524" spans="1:5" x14ac:dyDescent="0.25">
      <c r="A1524" s="556" t="s">
        <v>1010</v>
      </c>
      <c r="B1524" s="556" t="s">
        <v>1010</v>
      </c>
      <c r="C1524" s="556">
        <v>1900</v>
      </c>
      <c r="D1524" s="556">
        <v>6100</v>
      </c>
      <c r="E1524" s="557">
        <f>SUMIFS('Accounting data'!$G$2:$G$37003,'Accounting data'!$J$2:$J$37003,"19*",'Accounting data'!$K$2:$K$37003,"61*")</f>
        <v>0</v>
      </c>
    </row>
    <row r="1525" spans="1:5" x14ac:dyDescent="0.25">
      <c r="A1525" s="556" t="s">
        <v>1011</v>
      </c>
      <c r="B1525" s="556" t="s">
        <v>1010</v>
      </c>
      <c r="C1525" s="556">
        <v>1900</v>
      </c>
      <c r="D1525" s="556">
        <v>6100</v>
      </c>
      <c r="E1525" s="557">
        <f>SUMIFS('Accounting data'!$G$2:$G$37003,'Accounting data'!$H$2:$H$37003,"9999*",'Accounting data'!$J$2:$J$37003,"19*",'Accounting data'!$K$2:$K$37003,"61*")</f>
        <v>0</v>
      </c>
    </row>
    <row r="1526" spans="1:5" x14ac:dyDescent="0.25">
      <c r="A1526" s="556" t="s">
        <v>1010</v>
      </c>
      <c r="B1526" s="556" t="s">
        <v>1012</v>
      </c>
      <c r="C1526" s="556">
        <v>1900</v>
      </c>
      <c r="D1526" s="556">
        <v>6100</v>
      </c>
      <c r="E1526" s="557">
        <f>SUMIFS('Accounting data'!$G$2:$G$37003,'Accounting data'!$I$2:$I$37003,"7*",'Accounting data'!$J$2:$J$37003,"19*",'Accounting data'!$K$2:$K$37003,"61*")+SUMIFS('Accounting data'!$G$2:$G$37003,'Accounting data'!$I$2:$I$37003,"8*",'Accounting data'!$J$2:$J$37003,"19*",'Accounting data'!$K$2:$K$37003,"61*")+SUMIFS('Accounting data'!$G$2:$G$37003,'Accounting data'!$I$2:$I$37003,"9*",'Accounting data'!$J$2:$J$37003,"19*",'Accounting data'!$K$2:$K$37003,"61*")</f>
        <v>0</v>
      </c>
    </row>
    <row r="1527" spans="1:5" x14ac:dyDescent="0.25">
      <c r="A1527" s="558" t="s">
        <v>1011</v>
      </c>
      <c r="B1527" s="556" t="s">
        <v>1012</v>
      </c>
      <c r="C1527" s="556">
        <v>1900</v>
      </c>
      <c r="D1527" s="556">
        <v>6100</v>
      </c>
      <c r="E1527" s="557">
        <f>SUMIFS('Accounting data'!$G$2:$G$37003,'Accounting data'!$H$2:$H$37003,"9999*",'Accounting data'!$I$2:$I$37003,"7*",'Accounting data'!$J$2:$J$37003,"19*",'Accounting data'!$K$2:$K$37003,"61*")+SUMIFS('Accounting data'!$G$2:$G$37003,'Accounting data'!$H$2:$H$37003,"9999*",'Accounting data'!$I$2:$I$37003,"8*",'Accounting data'!$J$2:$J$37003,"19*",'Accounting data'!$K$2:$K$37003,"61*")+SUMIFS('Accounting data'!$G$2:$G$37003,'Accounting data'!$H$2:$H$37003,"9999*",'Accounting data'!$I$2:$I$37003,"9*",'Accounting data'!$J$2:$J$37003,"19*",'Accounting data'!$K$2:$K$37003,"61*")</f>
        <v>0</v>
      </c>
    </row>
    <row r="1528" spans="1:5" x14ac:dyDescent="0.25">
      <c r="A1528" s="559" t="s">
        <v>1139</v>
      </c>
      <c r="B1528" s="559"/>
      <c r="C1528" s="559"/>
      <c r="D1528" s="559"/>
      <c r="E1528" s="576">
        <f>(E1524-E1525-E1526)+E1527</f>
        <v>0</v>
      </c>
    </row>
    <row r="1529" spans="1:5" x14ac:dyDescent="0.25">
      <c r="A1529" s="556" t="s">
        <v>1026</v>
      </c>
      <c r="B1529" s="556" t="s">
        <v>1010</v>
      </c>
      <c r="C1529" s="556">
        <v>1900</v>
      </c>
      <c r="D1529" s="556">
        <v>6100</v>
      </c>
      <c r="E1529" s="557">
        <f t="array" ref="E1529">SUMIFS('Accounting data'!$G$2:$G$37003,'Accounting data'!$H$2:$H$37003,"11*",'Accounting data'!$J$2:$J$37003,"19*",'Accounting data'!$K$2:$K$37003,"61*")+SUMIFS('Accounting data'!$G$2:$G$37003,'Accounting data'!$H$2:$H$37003,"12*",'Accounting data'!$J$2:$J$37003,"19*",'Accounting data'!$K$2:$K$37003,"61*")+SUMIFS('Accounting data'!$G$2:$G$37003,'Accounting data'!$H$2:$H$37003,"13*",'Accounting data'!$J$2:$J$37003,"19*",'Accounting data'!$K$2:$K$37003,"61*")</f>
        <v>0</v>
      </c>
    </row>
    <row r="1530" spans="1:5" x14ac:dyDescent="0.25">
      <c r="A1530" s="556" t="s">
        <v>1026</v>
      </c>
      <c r="B1530" s="558">
        <v>700</v>
      </c>
      <c r="C1530" s="556">
        <v>1900</v>
      </c>
      <c r="D1530" s="556">
        <v>6100</v>
      </c>
      <c r="E1530" s="557">
        <f t="array" ref="E1530">SUMIFS('Accounting data'!$G$2:$G$37003,'Accounting data'!$H$2:$H$37003,"11*",'Accounting data'!$I$2:$I$37003,"7*",'Accounting data'!$J$2:$J$37003,"19*",'Accounting data'!$K$2:$K$37003,"61*")+SUMIFS('Accounting data'!$G$2:$G$37003,'Accounting data'!$H$2:$H$37003,"12*",'Accounting data'!$I$2:$I$37003,"7*",'Accounting data'!$J$2:$J$37003,"19*",'Accounting data'!$K$2:$K$37003,"61*")+SUMIFS('Accounting data'!$G$2:$G$37003,'Accounting data'!$H$2:$H$37003,"13*",'Accounting data'!$I$2:$I$37003,"7*",'Accounting data'!$J$2:$J$37003,"19*",'Accounting data'!$K$2:$K$37003,"61*")</f>
        <v>0</v>
      </c>
    </row>
    <row r="1531" spans="1:5" x14ac:dyDescent="0.25">
      <c r="A1531" s="556" t="s">
        <v>1026</v>
      </c>
      <c r="B1531" s="558">
        <v>800</v>
      </c>
      <c r="C1531" s="556">
        <v>1900</v>
      </c>
      <c r="D1531" s="556">
        <v>6100</v>
      </c>
      <c r="E1531" s="557">
        <f t="array" ref="E1531">SUMIFS('Accounting data'!$G$2:$G$37003,'Accounting data'!$H$2:$H$37003,"11*",'Accounting data'!$I$2:$I$37003,"8*",'Accounting data'!$J$2:$J$37003,"19*",'Accounting data'!$K$2:$K$37003,"61*")+SUMIFS('Accounting data'!$G$2:$G$37003,'Accounting data'!$H$2:$H$37003,"12*",'Accounting data'!$I$2:$I$37003,"8*",'Accounting data'!$J$2:$J$37003,"19*",'Accounting data'!$K$2:$K$37003,"61*")+SUMIFS('Accounting data'!$G$2:$G$37003,'Accounting data'!$H$2:$H$37003,"13*",'Accounting data'!$I$2:$I$37003,"8*",'Accounting data'!$J$2:$J$37003,"19*",'Accounting data'!$K$2:$K$37003,"61*")</f>
        <v>0</v>
      </c>
    </row>
    <row r="1532" spans="1:5" x14ac:dyDescent="0.25">
      <c r="A1532" s="556" t="s">
        <v>1026</v>
      </c>
      <c r="B1532" s="558">
        <v>900</v>
      </c>
      <c r="C1532" s="556">
        <v>1900</v>
      </c>
      <c r="D1532" s="556">
        <v>6100</v>
      </c>
      <c r="E1532" s="557">
        <f t="array" ref="E1532">SUMIFS('Accounting data'!$G$2:$G$37003,'Accounting data'!$H$2:$H$37003,"11*",'Accounting data'!$I$2:$I$37003,"9*",'Accounting data'!$J$2:$J$37003,"19*",'Accounting data'!$K$2:$K$37003,"61*")+SUMIFS('Accounting data'!$G$2:$G$37003,'Accounting data'!$H$2:$H$37003,"12*",'Accounting data'!$I$2:$I$37003,"9*",'Accounting data'!$J$2:$J$37003,"19*",'Accounting data'!$K$2:$K$37003,"61*")+SUMIFS('Accounting data'!$G$2:$G$37003,'Accounting data'!$H$2:$H$37003,"13*",'Accounting data'!$I$2:$I$37003,"9*",'Accounting data'!$J$2:$J$37003,"19*",'Accounting data'!$K$2:$K$37003,"61*")</f>
        <v>0</v>
      </c>
    </row>
    <row r="1533" spans="1:5" x14ac:dyDescent="0.25">
      <c r="A1533" s="559" t="s">
        <v>1140</v>
      </c>
      <c r="B1533" s="559"/>
      <c r="C1533" s="559"/>
      <c r="D1533" s="559"/>
      <c r="E1533" s="576">
        <f>E1529-(E1530+E1531+E1532)</f>
        <v>0</v>
      </c>
    </row>
    <row r="1534" spans="1:5" x14ac:dyDescent="0.25">
      <c r="A1534" s="562" t="s">
        <v>1141</v>
      </c>
      <c r="B1534" s="562"/>
      <c r="C1534" s="562"/>
      <c r="D1534" s="562"/>
      <c r="E1534" s="566">
        <f>E1528-E1533</f>
        <v>0</v>
      </c>
    </row>
    <row r="1535" spans="1:5" x14ac:dyDescent="0.25">
      <c r="A1535" s="577" t="s">
        <v>1010</v>
      </c>
      <c r="B1535" s="577" t="s">
        <v>1010</v>
      </c>
      <c r="C1535" s="577">
        <v>5000</v>
      </c>
      <c r="D1535" s="577">
        <v>6800</v>
      </c>
      <c r="E1535" s="578">
        <f>SUMIFS('Accounting data'!G$2:G$37003,'Accounting data'!J$2:J$37003,"5*",'Accounting data'!K$2:K$37003,"68*")</f>
        <v>0</v>
      </c>
    </row>
    <row r="1536" spans="1:5" x14ac:dyDescent="0.25">
      <c r="A1536" s="577" t="s">
        <v>1011</v>
      </c>
      <c r="B1536" s="577" t="s">
        <v>1010</v>
      </c>
      <c r="C1536" s="577">
        <v>5000</v>
      </c>
      <c r="D1536" s="577">
        <v>6800</v>
      </c>
      <c r="E1536" s="578">
        <f>SUMIFS('Accounting data'!$G$2:$G$37003,'Accounting data'!$H$2:$H$37003,"9999*",'Accounting data'!$J$2:$J$37003,"5*",'Accounting data'!$K$2:$K$37003,"68*")</f>
        <v>0</v>
      </c>
    </row>
    <row r="1537" spans="1:5" x14ac:dyDescent="0.25">
      <c r="A1537" s="577" t="s">
        <v>1010</v>
      </c>
      <c r="B1537" s="577" t="s">
        <v>1012</v>
      </c>
      <c r="C1537" s="577">
        <v>5000</v>
      </c>
      <c r="D1537" s="577">
        <v>6800</v>
      </c>
      <c r="E1537" s="578">
        <f>SUMIFS('Accounting data'!$G$2:$G$37003,'Accounting data'!$I$2:$I$37003,"7*",'Accounting data'!$J$2:$J$37003,"5*",'Accounting data'!$K$2:$K$37003,"68*")+SUMIFS('Accounting data'!$G$2:$G$37003,'Accounting data'!$I$2:$I$37003,"8*",'Accounting data'!$J$2:$J$37003,"5*",'Accounting data'!$K$2:$K$37003,"68*")+SUMIFS('Accounting data'!$G$2:$G$37003,'Accounting data'!$I$2:$I$37003,"9*",'Accounting data'!$J$2:$J$37003,"5*",'Accounting data'!$K$2:$K$37003,"68*")</f>
        <v>0</v>
      </c>
    </row>
    <row r="1538" spans="1:5" x14ac:dyDescent="0.25">
      <c r="A1538" s="579" t="s">
        <v>1011</v>
      </c>
      <c r="B1538" s="577" t="s">
        <v>1012</v>
      </c>
      <c r="C1538" s="577">
        <v>5000</v>
      </c>
      <c r="D1538" s="577">
        <v>6800</v>
      </c>
      <c r="E1538" s="578">
        <f>SUMIFS('Accounting data'!$G$2:$G$37003,'Accounting data'!$H$2:$H$37003,"9999*",'Accounting data'!$I$2:$I$37003,"7*",'Accounting data'!$J$2:$J$37003,"5*",'Accounting data'!$K$2:$K$37003,"68*")+SUMIFS('Accounting data'!$G$2:$G$37003,'Accounting data'!$H$2:$H$37003,"9999*",'Accounting data'!$I$2:$I$37003,"8*",'Accounting data'!$J$2:$J$37003,"5*",'Accounting data'!$K$2:$K$37003,"68*")+SUMIFS('Accounting data'!$G$2:$G$37003,'Accounting data'!$H$2:$H$37003,"9999*",'Accounting data'!$I$2:$I$37003,"9*",'Accounting data'!$J$2:$J$37003,"5*",'Accounting data'!$K$2:$K$37003,"68*")</f>
        <v>0</v>
      </c>
    </row>
    <row r="1539" spans="1:5" ht="14.4" x14ac:dyDescent="0.3">
      <c r="A1539" s="580" t="s">
        <v>1142</v>
      </c>
      <c r="B1539" s="580"/>
      <c r="C1539" s="580"/>
      <c r="D1539" s="580"/>
      <c r="E1539" s="560">
        <f>(E1535-E1536-E1537)+E1538</f>
        <v>0</v>
      </c>
    </row>
  </sheetData>
  <sheetProtection sheet="1" objects="1" scenarios="1"/>
  <autoFilter ref="A1:E1534" xr:uid="{00000000-0009-0000-0000-000011000000}"/>
  <pageMargins left="0.75" right="0.25" top="0.25" bottom="0.25" header="0.5" footer="0.15"/>
  <pageSetup paperSize="5" scale="10" orientation="landscape" r:id="rId1"/>
  <headerFooter>
    <oddFooter>&amp;LRev. 8/24 Arizona Department of Education and Auditor General&amp;CFY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schemas.microsoft.com/office/2006/documentManagement/types"/>
    <ds:schemaRef ds:uri="http://purl.org/dc/dcmitype/"/>
    <ds:schemaRef ds:uri="http://purl.org/dc/elements/1.1/"/>
    <ds:schemaRef ds:uri="http://purl.org/dc/terms/"/>
    <ds:schemaRef ds:uri="http://schemas.microsoft.com/office/2006/metadata/properties"/>
    <ds:schemaRef ds:uri="8385876d-3ffd-449d-b709-a8df02b96ae7"/>
    <ds:schemaRef ds:uri="ffcdc2e4-c8f2-4bf7-ab1d-ea300bde3fd8"/>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9EE2D3E-3671-4873-A941-EAD2EB9B1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183</vt:i4>
      </vt:variant>
    </vt:vector>
  </HeadingPairs>
  <TitlesOfParts>
    <vt:vector size="201" baseType="lpstr">
      <vt:lpstr>Cover Page</vt:lpstr>
      <vt:lpstr>Page 1</vt:lpstr>
      <vt:lpstr>Page 2</vt:lpstr>
      <vt:lpstr>Page 3</vt:lpstr>
      <vt:lpstr>Page 4</vt:lpstr>
      <vt:lpstr>Page 5</vt:lpstr>
      <vt:lpstr>Page 6</vt:lpstr>
      <vt:lpstr>Page 7</vt:lpstr>
      <vt:lpstr>Page 8</vt:lpstr>
      <vt:lpstr>Page 9</vt:lpstr>
      <vt:lpstr>Page 10</vt:lpstr>
      <vt:lpstr>Summary</vt:lpstr>
      <vt:lpstr>Project balance reserves</vt:lpstr>
      <vt:lpstr>School listing</vt:lpstr>
      <vt:lpstr>Alerts</vt:lpstr>
      <vt:lpstr>Instructions</vt:lpstr>
      <vt:lpstr>Accounting data</vt:lpstr>
      <vt:lpstr>Calculations</vt:lpstr>
      <vt:lpstr>Account</vt:lpstr>
      <vt:lpstr>Accounting_Data_Tab</vt:lpstr>
      <vt:lpstr>ActualTotalFederalAndStateProjects</vt:lpstr>
      <vt:lpstr>ActualTotalInstImpExp</vt:lpstr>
      <vt:lpstr>AddlInstrImprProjEndBal</vt:lpstr>
      <vt:lpstr>AdjustedBeginningProjectBalance</vt:lpstr>
      <vt:lpstr>AllDisabilityClassifications</vt:lpstr>
      <vt:lpstr>ArizonaIndustryCredentialsIncentive</vt:lpstr>
      <vt:lpstr>AuditServices</vt:lpstr>
      <vt:lpstr>AverageTeacherSalary</vt:lpstr>
      <vt:lpstr>BegProjectBalances</vt:lpstr>
      <vt:lpstr>CapitalAcquisitions</vt:lpstr>
      <vt:lpstr>CapitalAcquisitionsLine5</vt:lpstr>
      <vt:lpstr>CashandInvestments</vt:lpstr>
      <vt:lpstr>CashBal</vt:lpstr>
      <vt:lpstr>CIP1072EndBal</vt:lpstr>
      <vt:lpstr>ClssrmSitepg3</vt:lpstr>
      <vt:lpstr>CSPlines122615</vt:lpstr>
      <vt:lpstr>CSPlines4914</vt:lpstr>
      <vt:lpstr>CSPPropertyPayments</vt:lpstr>
      <vt:lpstr>CurrentExpensesByCategory</vt:lpstr>
      <vt:lpstr>CurrentExpensesbyCategoryLines7and8</vt:lpstr>
      <vt:lpstr>DebtService</vt:lpstr>
      <vt:lpstr>District_Name</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Alerts!Print_Area</vt:lpstr>
      <vt:lpstr>'Cover Page'!Print_Area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'Project balance reserves'!Print_Area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School_Listing_Tab</vt:lpstr>
      <vt:lpstr>Section_C_Transportation</vt:lpstr>
      <vt:lpstr>SEIP1071EndBal</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Aspire BC2</cp:lastModifiedBy>
  <cp:lastPrinted>2024-08-15T21:26:38Z</cp:lastPrinted>
  <dcterms:created xsi:type="dcterms:W3CDTF">1997-10-09T16:56:13Z</dcterms:created>
  <dcterms:modified xsi:type="dcterms:W3CDTF">2024-10-07T03:24:46Z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0x0101001070CC293A09E046BE89913D5D7A0855</vt:lpwstr>
  </property>
  <property fmtid="{D5CDD505-2E9C-101B-9397-08002B2CF9AE}" pid="7" name="MediaServiceImageTags">
    <vt:lpwstr/>
  </property>
  <property fmtid="{D5CDD505-2E9C-101B-9397-08002B2CF9AE}" pid="8" name="ADEGUID">
    <vt:lpwstr>FA1AF65C-EDB5-44C1-8753-ACDA7573233C</vt:lpwstr>
  </property>
</Properties>
</file>